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25" windowWidth="21630" windowHeight="5475" activeTab="0"/>
  </bookViews>
  <sheets>
    <sheet name="Jelgava" sheetId="1" r:id="rId1"/>
  </sheets>
  <definedNames>
    <definedName name="_xlnm._FilterDatabase" localSheetId="0" hidden="1">'Jelgava'!$B$2:$B$372</definedName>
    <definedName name="_xlnm.Print_Titles" localSheetId="0">'Jelgava'!$3:$4</definedName>
  </definedNames>
  <calcPr fullCalcOnLoad="1"/>
</workbook>
</file>

<file path=xl/sharedStrings.xml><?xml version="1.0" encoding="utf-8"?>
<sst xmlns="http://schemas.openxmlformats.org/spreadsheetml/2006/main" count="757" uniqueCount="131">
  <si>
    <t>Nr.P.K.</t>
  </si>
  <si>
    <t>Iela</t>
  </si>
  <si>
    <t>Mājas Nr.</t>
  </si>
  <si>
    <t>Apsaimniekotājs</t>
  </si>
  <si>
    <t>Dzīvokļu Skaits</t>
  </si>
  <si>
    <t>Kopējā platīma m2</t>
  </si>
  <si>
    <t>Iedzīvotāju skaits</t>
  </si>
  <si>
    <t xml:space="preserve">Asteru </t>
  </si>
  <si>
    <t>Nebruks</t>
  </si>
  <si>
    <t>IELA</t>
  </si>
  <si>
    <t>Dambja</t>
  </si>
  <si>
    <t>Egas</t>
  </si>
  <si>
    <t>Helmaņa</t>
  </si>
  <si>
    <t>2a</t>
  </si>
  <si>
    <t>Kalnciema ceļš</t>
  </si>
  <si>
    <t>Lielā</t>
  </si>
  <si>
    <t>Mātera</t>
  </si>
  <si>
    <t>Meiju ceļš</t>
  </si>
  <si>
    <t>Pasta</t>
  </si>
  <si>
    <t>Pētera</t>
  </si>
  <si>
    <t>Raiņa</t>
  </si>
  <si>
    <t>Rīgas</t>
  </si>
  <si>
    <t xml:space="preserve">Rūpniecības </t>
  </si>
  <si>
    <t>Stacijas</t>
  </si>
  <si>
    <t>5a</t>
  </si>
  <si>
    <t>5b</t>
  </si>
  <si>
    <t>5c</t>
  </si>
  <si>
    <t>Tērvetes</t>
  </si>
  <si>
    <t xml:space="preserve">Svētes </t>
  </si>
  <si>
    <t>Zemgales prospekts</t>
  </si>
  <si>
    <t>Zirgu</t>
  </si>
  <si>
    <t>9a</t>
  </si>
  <si>
    <t>9b</t>
  </si>
  <si>
    <t>9c</t>
  </si>
  <si>
    <t>Pļavu</t>
  </si>
  <si>
    <t>Uzvaras</t>
  </si>
  <si>
    <t>Kastaņu</t>
  </si>
  <si>
    <t>Ekspluatācijas uzsākšnas gads</t>
  </si>
  <si>
    <t>NIP</t>
  </si>
  <si>
    <t>4.līnija</t>
  </si>
  <si>
    <t>Akadēmijas</t>
  </si>
  <si>
    <t>Aspazijas</t>
  </si>
  <si>
    <t>21</t>
  </si>
  <si>
    <t>RIMIDALV</t>
  </si>
  <si>
    <t>27</t>
  </si>
  <si>
    <t>29</t>
  </si>
  <si>
    <t>37</t>
  </si>
  <si>
    <t>Asteru</t>
  </si>
  <si>
    <t>Atmodas</t>
  </si>
  <si>
    <t>Aviācijas</t>
  </si>
  <si>
    <t>Blaumaņa</t>
  </si>
  <si>
    <t>Brīvības bulv.</t>
  </si>
  <si>
    <t>Cukura</t>
  </si>
  <si>
    <t>Čakstes bulv.</t>
  </si>
  <si>
    <t>Dobeles</t>
  </si>
  <si>
    <t>Dobeles šoseja</t>
  </si>
  <si>
    <t>Driksas</t>
  </si>
  <si>
    <t>Ganību</t>
  </si>
  <si>
    <t>Garozas</t>
  </si>
  <si>
    <t>Jāņa</t>
  </si>
  <si>
    <t>Katoļu</t>
  </si>
  <si>
    <t>Kooperatīva</t>
  </si>
  <si>
    <t>Kr.Barona</t>
  </si>
  <si>
    <t>Kronvalda</t>
  </si>
  <si>
    <t>3</t>
  </si>
  <si>
    <t>KRONVALDA Dzī.īkoop.sab.</t>
  </si>
  <si>
    <t>Kungu</t>
  </si>
  <si>
    <t>Lāčplēša</t>
  </si>
  <si>
    <t>19a</t>
  </si>
  <si>
    <t>Lidotāju iela</t>
  </si>
  <si>
    <t>Loka maģistrāle</t>
  </si>
  <si>
    <t>Mazais ceļš</t>
  </si>
  <si>
    <t>Māras</t>
  </si>
  <si>
    <t>23/25</t>
  </si>
  <si>
    <t>35a</t>
  </si>
  <si>
    <t>Nameja</t>
  </si>
  <si>
    <t>Neretas</t>
  </si>
  <si>
    <t>Palīdzības</t>
  </si>
  <si>
    <t>1</t>
  </si>
  <si>
    <t>52</t>
  </si>
  <si>
    <t xml:space="preserve">RIMIDALV </t>
  </si>
  <si>
    <t>54</t>
  </si>
  <si>
    <t>Paula Lejiņa</t>
  </si>
  <si>
    <t>1a</t>
  </si>
  <si>
    <t>Pērnavas</t>
  </si>
  <si>
    <t>Puķu</t>
  </si>
  <si>
    <t>Pulkveža O.Kalpaka</t>
  </si>
  <si>
    <t>Pumpura</t>
  </si>
  <si>
    <t>Rūpniecības</t>
  </si>
  <si>
    <t>Sakņudārza</t>
  </si>
  <si>
    <t>Sarmas</t>
  </si>
  <si>
    <t>Satiksmes</t>
  </si>
  <si>
    <t>49</t>
  </si>
  <si>
    <t>Teika dzīv.īp.biedrība</t>
  </si>
  <si>
    <t>Sudrabu Edžus</t>
  </si>
  <si>
    <t>13a</t>
  </si>
  <si>
    <t>Svētes</t>
  </si>
  <si>
    <t>Vaļņu</t>
  </si>
  <si>
    <t>Vecais ceļš</t>
  </si>
  <si>
    <t>Vīgriežu</t>
  </si>
  <si>
    <t>Zvejnieku</t>
  </si>
  <si>
    <t>23</t>
  </si>
  <si>
    <t>25</t>
  </si>
  <si>
    <t>1015.65</t>
  </si>
  <si>
    <t>2941.30</t>
  </si>
  <si>
    <t>977.60</t>
  </si>
  <si>
    <t>Dzīvokļu (abonimentu) platība m2</t>
  </si>
  <si>
    <t>Vidējās siltuma pateriņš Mwh</t>
  </si>
  <si>
    <t>Īpatnējais siltuma seneŗgījas patēriņš Kwh/m2</t>
  </si>
  <si>
    <t xml:space="preserve">Dobeles </t>
  </si>
  <si>
    <t>-</t>
  </si>
  <si>
    <t>55/60</t>
  </si>
  <si>
    <t>Pulkveža Brieža/Dobeles</t>
  </si>
  <si>
    <t>14/40</t>
  </si>
  <si>
    <t>17/20</t>
  </si>
  <si>
    <t>33/32</t>
  </si>
  <si>
    <t>18/22</t>
  </si>
  <si>
    <t>14a</t>
  </si>
  <si>
    <t>28</t>
  </si>
  <si>
    <t>48</t>
  </si>
  <si>
    <t>50</t>
  </si>
  <si>
    <t>LATIO</t>
  </si>
  <si>
    <t>Patērētais Ūdens uzsildīšanas  enerģijas daudzumsMwh</t>
  </si>
  <si>
    <t>Patērētais siltuma enerģijas daudzums Mwh</t>
  </si>
  <si>
    <t>53</t>
  </si>
  <si>
    <t>Vidējās enrģ. pateriņš Mwh</t>
  </si>
  <si>
    <t>Īpatnējais ūdens.uzs. seneŗgījas patēriņš Kwh/m2</t>
  </si>
  <si>
    <t>Jelgavas pilsētas daudzdzīvokļu ēku energoresursu patēriņa paŗskats, ēkām, kas tiek apkurinātas centralizēti.</t>
  </si>
  <si>
    <t>Publicētājs: ZREA</t>
  </si>
  <si>
    <t>Informācijas avots: SIA "Fortum Jelgava"</t>
  </si>
  <si>
    <t>KOPĀ: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</si>
</sst>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_-* #,##0_-;\-* #,##0_-;_-* &quot;-&quot;??_-;_-@_-"/>
    <numFmt numFmtId="174" formatCode="_-* #,##0.0_-;\-* #,##0.0_-;_-* &quot;-&quot;??_-;_-@_-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Accounting"/>
      <sz val="11"/>
      <color indexed="8"/>
      <name val="Calibri"/>
      <family val="2"/>
    </font>
    <font>
      <sz val="8"/>
      <name val="Segoe U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Accounting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171" fontId="42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2" fontId="4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1" fontId="0" fillId="0" borderId="10" xfId="42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42" applyFont="1" applyAlignment="1">
      <alignment horizontal="center"/>
    </xf>
    <xf numFmtId="171" fontId="0" fillId="0" borderId="0" xfId="42" applyFont="1" applyAlignment="1">
      <alignment/>
    </xf>
    <xf numFmtId="2" fontId="0" fillId="0" borderId="0" xfId="0" applyNumberFormat="1" applyFont="1" applyAlignment="1">
      <alignment/>
    </xf>
    <xf numFmtId="0" fontId="45" fillId="0" borderId="11" xfId="0" applyFont="1" applyBorder="1" applyAlignment="1">
      <alignment horizontal="center"/>
    </xf>
    <xf numFmtId="171" fontId="46" fillId="0" borderId="12" xfId="42" applyFont="1" applyBorder="1" applyAlignment="1">
      <alignment horizontal="center" vertical="center" wrapText="1"/>
    </xf>
    <xf numFmtId="171" fontId="46" fillId="0" borderId="13" xfId="42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71" fontId="46" fillId="0" borderId="15" xfId="42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171" fontId="46" fillId="0" borderId="19" xfId="42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171" fontId="46" fillId="0" borderId="21" xfId="42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47" fillId="33" borderId="10" xfId="0" applyFont="1" applyFill="1" applyBorder="1" applyAlignment="1">
      <alignment wrapText="1"/>
    </xf>
    <xf numFmtId="49" fontId="26" fillId="0" borderId="10" xfId="0" applyNumberFormat="1" applyFont="1" applyBorder="1" applyAlignment="1">
      <alignment wrapText="1"/>
    </xf>
    <xf numFmtId="49" fontId="47" fillId="0" borderId="10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0" fontId="47" fillId="0" borderId="0" xfId="0" applyFont="1" applyAlignment="1">
      <alignment wrapText="1"/>
    </xf>
    <xf numFmtId="0" fontId="0" fillId="0" borderId="10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wrapText="1"/>
    </xf>
    <xf numFmtId="0" fontId="46" fillId="0" borderId="15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wrapText="1"/>
    </xf>
    <xf numFmtId="0" fontId="47" fillId="0" borderId="10" xfId="0" applyFont="1" applyBorder="1" applyAlignment="1">
      <alignment horizontal="justify" vertical="top" wrapText="1"/>
    </xf>
    <xf numFmtId="0" fontId="26" fillId="0" borderId="10" xfId="0" applyFont="1" applyFill="1" applyBorder="1" applyAlignment="1">
      <alignment horizontal="left" wrapText="1"/>
    </xf>
    <xf numFmtId="49" fontId="47" fillId="33" borderId="10" xfId="0" applyNumberFormat="1" applyFont="1" applyFill="1" applyBorder="1" applyAlignment="1">
      <alignment horizontal="left" wrapText="1"/>
    </xf>
    <xf numFmtId="0" fontId="26" fillId="0" borderId="10" xfId="0" applyNumberFormat="1" applyFont="1" applyFill="1" applyBorder="1" applyAlignment="1" applyProtection="1">
      <alignment horizontal="left" vertical="top" wrapText="1"/>
      <protection/>
    </xf>
    <xf numFmtId="174" fontId="0" fillId="0" borderId="10" xfId="42" applyNumberFormat="1" applyFont="1" applyBorder="1" applyAlignment="1">
      <alignment horizontal="right"/>
    </xf>
    <xf numFmtId="174" fontId="22" fillId="33" borderId="10" xfId="42" applyNumberFormat="1" applyFont="1" applyFill="1" applyBorder="1" applyAlignment="1">
      <alignment horizontal="right"/>
    </xf>
    <xf numFmtId="174" fontId="0" fillId="33" borderId="10" xfId="42" applyNumberFormat="1" applyFont="1" applyFill="1" applyBorder="1" applyAlignment="1">
      <alignment horizontal="right"/>
    </xf>
    <xf numFmtId="174" fontId="22" fillId="10" borderId="10" xfId="42" applyNumberFormat="1" applyFont="1" applyFill="1" applyBorder="1" applyAlignment="1">
      <alignment horizontal="right"/>
    </xf>
    <xf numFmtId="174" fontId="42" fillId="34" borderId="10" xfId="42" applyNumberFormat="1" applyFont="1" applyFill="1" applyBorder="1" applyAlignment="1">
      <alignment horizontal="right"/>
    </xf>
    <xf numFmtId="174" fontId="22" fillId="0" borderId="10" xfId="42" applyNumberFormat="1" applyFont="1" applyBorder="1" applyAlignment="1">
      <alignment horizontal="right"/>
    </xf>
    <xf numFmtId="174" fontId="22" fillId="33" borderId="10" xfId="42" applyNumberFormat="1" applyFont="1" applyFill="1" applyBorder="1" applyAlignment="1" applyProtection="1">
      <alignment horizontal="right" vertical="top" wrapText="1"/>
      <protection/>
    </xf>
    <xf numFmtId="174" fontId="1" fillId="33" borderId="10" xfId="42" applyNumberFormat="1" applyFont="1" applyFill="1" applyBorder="1" applyAlignment="1" applyProtection="1">
      <alignment horizontal="right" vertical="top" wrapText="1"/>
      <protection/>
    </xf>
    <xf numFmtId="174" fontId="22" fillId="0" borderId="10" xfId="42" applyNumberFormat="1" applyFont="1" applyFill="1" applyBorder="1" applyAlignment="1" applyProtection="1">
      <alignment horizontal="right" vertical="top" wrapText="1"/>
      <protection/>
    </xf>
    <xf numFmtId="174" fontId="0" fillId="0" borderId="10" xfId="42" applyNumberFormat="1" applyFont="1" applyFill="1" applyBorder="1" applyAlignment="1">
      <alignment horizontal="right"/>
    </xf>
    <xf numFmtId="174" fontId="22" fillId="35" borderId="10" xfId="42" applyNumberFormat="1" applyFont="1" applyFill="1" applyBorder="1" applyAlignment="1" applyProtection="1">
      <alignment horizontal="right" vertical="top" wrapText="1"/>
      <protection/>
    </xf>
    <xf numFmtId="174" fontId="0" fillId="0" borderId="10" xfId="42" applyNumberFormat="1" applyFont="1" applyBorder="1" applyAlignment="1">
      <alignment horizontal="right" vertical="top" wrapText="1"/>
    </xf>
    <xf numFmtId="174" fontId="1" fillId="0" borderId="10" xfId="42" applyNumberFormat="1" applyFont="1" applyFill="1" applyBorder="1" applyAlignment="1" applyProtection="1">
      <alignment horizontal="right" vertical="top" wrapText="1"/>
      <protection/>
    </xf>
    <xf numFmtId="174" fontId="22" fillId="35" borderId="10" xfId="42" applyNumberFormat="1" applyFont="1" applyFill="1" applyBorder="1" applyAlignment="1">
      <alignment horizontal="right"/>
    </xf>
    <xf numFmtId="174" fontId="22" fillId="0" borderId="10" xfId="42" applyNumberFormat="1" applyFont="1" applyFill="1" applyBorder="1" applyAlignment="1">
      <alignment horizontal="right"/>
    </xf>
    <xf numFmtId="174" fontId="0" fillId="33" borderId="10" xfId="42" applyNumberFormat="1" applyFont="1" applyFill="1" applyBorder="1" applyAlignment="1">
      <alignment horizontal="right" vertical="center"/>
    </xf>
    <xf numFmtId="174" fontId="22" fillId="33" borderId="10" xfId="42" applyNumberFormat="1" applyFont="1" applyFill="1" applyBorder="1" applyAlignment="1">
      <alignment horizontal="right" vertical="center"/>
    </xf>
    <xf numFmtId="174" fontId="22" fillId="0" borderId="10" xfId="42" applyNumberFormat="1" applyFont="1" applyFill="1" applyBorder="1" applyAlignment="1">
      <alignment horizontal="right" vertical="center" wrapText="1"/>
    </xf>
    <xf numFmtId="174" fontId="43" fillId="0" borderId="10" xfId="42" applyNumberFormat="1" applyFont="1" applyBorder="1" applyAlignment="1">
      <alignment horizontal="right"/>
    </xf>
    <xf numFmtId="174" fontId="0" fillId="0" borderId="10" xfId="42" applyNumberFormat="1" applyFont="1" applyFill="1" applyBorder="1" applyAlignment="1">
      <alignment horizontal="right" vertical="top" wrapText="1"/>
    </xf>
    <xf numFmtId="174" fontId="0" fillId="0" borderId="10" xfId="42" applyNumberFormat="1" applyFont="1" applyBorder="1" applyAlignment="1">
      <alignment horizontal="right"/>
    </xf>
    <xf numFmtId="174" fontId="0" fillId="0" borderId="10" xfId="42" applyNumberFormat="1" applyFont="1" applyBorder="1" applyAlignment="1">
      <alignment horizontal="right" vertical="top" wrapText="1"/>
    </xf>
    <xf numFmtId="174" fontId="0" fillId="33" borderId="10" xfId="42" applyNumberFormat="1" applyFont="1" applyFill="1" applyBorder="1" applyAlignment="1" applyProtection="1">
      <alignment horizontal="right" vertical="top" wrapText="1"/>
      <protection/>
    </xf>
    <xf numFmtId="174" fontId="0" fillId="33" borderId="10" xfId="42" applyNumberFormat="1" applyFont="1" applyFill="1" applyBorder="1" applyAlignment="1">
      <alignment horizontal="right"/>
    </xf>
    <xf numFmtId="174" fontId="0" fillId="10" borderId="10" xfId="42" applyNumberFormat="1" applyFont="1" applyFill="1" applyBorder="1" applyAlignment="1">
      <alignment horizontal="right"/>
    </xf>
    <xf numFmtId="174" fontId="42" fillId="34" borderId="10" xfId="42" applyNumberFormat="1" applyFont="1" applyFill="1" applyBorder="1" applyAlignment="1">
      <alignment horizontal="right"/>
    </xf>
    <xf numFmtId="174" fontId="43" fillId="33" borderId="10" xfId="42" applyNumberFormat="1" applyFont="1" applyFill="1" applyBorder="1" applyAlignment="1">
      <alignment horizontal="right"/>
    </xf>
    <xf numFmtId="174" fontId="2" fillId="35" borderId="10" xfId="42" applyNumberFormat="1" applyFont="1" applyFill="1" applyBorder="1" applyAlignment="1">
      <alignment horizontal="right"/>
    </xf>
    <xf numFmtId="174" fontId="2" fillId="33" borderId="10" xfId="42" applyNumberFormat="1" applyFont="1" applyFill="1" applyBorder="1" applyAlignment="1">
      <alignment horizontal="right"/>
    </xf>
    <xf numFmtId="174" fontId="2" fillId="33" borderId="10" xfId="42" applyNumberFormat="1" applyFont="1" applyFill="1" applyBorder="1" applyAlignment="1" applyProtection="1">
      <alignment horizontal="right" vertical="top" wrapText="1"/>
      <protection/>
    </xf>
    <xf numFmtId="174" fontId="2" fillId="10" borderId="10" xfId="42" applyNumberFormat="1" applyFont="1" applyFill="1" applyBorder="1" applyAlignment="1">
      <alignment horizontal="right"/>
    </xf>
    <xf numFmtId="174" fontId="0" fillId="35" borderId="10" xfId="42" applyNumberFormat="1" applyFont="1" applyFill="1" applyBorder="1" applyAlignment="1">
      <alignment horizontal="right"/>
    </xf>
    <xf numFmtId="173" fontId="0" fillId="0" borderId="10" xfId="42" applyNumberFormat="1" applyFont="1" applyBorder="1" applyAlignment="1">
      <alignment horizontal="right"/>
    </xf>
    <xf numFmtId="174" fontId="0" fillId="0" borderId="10" xfId="42" applyNumberFormat="1" applyFont="1" applyBorder="1" applyAlignment="1">
      <alignment vertical="top"/>
    </xf>
    <xf numFmtId="174" fontId="0" fillId="33" borderId="10" xfId="42" applyNumberFormat="1" applyFont="1" applyFill="1" applyBorder="1" applyAlignment="1">
      <alignment vertical="top"/>
    </xf>
    <xf numFmtId="174" fontId="22" fillId="0" borderId="10" xfId="42" applyNumberFormat="1" applyFont="1" applyFill="1" applyBorder="1" applyAlignment="1" applyProtection="1">
      <alignment vertical="top" wrapText="1"/>
      <protection/>
    </xf>
    <xf numFmtId="174" fontId="22" fillId="33" borderId="10" xfId="42" applyNumberFormat="1" applyFont="1" applyFill="1" applyBorder="1" applyAlignment="1" applyProtection="1">
      <alignment vertical="top" wrapText="1"/>
      <protection/>
    </xf>
    <xf numFmtId="174" fontId="22" fillId="33" borderId="10" xfId="42" applyNumberFormat="1" applyFont="1" applyFill="1" applyBorder="1" applyAlignment="1">
      <alignment vertical="top"/>
    </xf>
    <xf numFmtId="174" fontId="22" fillId="10" borderId="10" xfId="42" applyNumberFormat="1" applyFont="1" applyFill="1" applyBorder="1" applyAlignment="1">
      <alignment vertical="top"/>
    </xf>
    <xf numFmtId="174" fontId="42" fillId="34" borderId="10" xfId="42" applyNumberFormat="1" applyFont="1" applyFill="1" applyBorder="1" applyAlignment="1">
      <alignment vertical="top"/>
    </xf>
    <xf numFmtId="173" fontId="0" fillId="0" borderId="10" xfId="42" applyNumberFormat="1" applyFont="1" applyBorder="1" applyAlignment="1">
      <alignment horizontal="right"/>
    </xf>
    <xf numFmtId="171" fontId="46" fillId="0" borderId="23" xfId="42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174" fontId="0" fillId="35" borderId="10" xfId="42" applyNumberFormat="1" applyFont="1" applyFill="1" applyBorder="1" applyAlignment="1" applyProtection="1">
      <alignment horizontal="right" vertical="top" wrapText="1"/>
      <protection/>
    </xf>
    <xf numFmtId="0" fontId="27" fillId="0" borderId="25" xfId="0" applyFont="1" applyFill="1" applyBorder="1" applyAlignment="1">
      <alignment horizontal="left"/>
    </xf>
    <xf numFmtId="0" fontId="27" fillId="0" borderId="26" xfId="0" applyFont="1" applyFill="1" applyBorder="1" applyAlignment="1">
      <alignment horizontal="left"/>
    </xf>
    <xf numFmtId="0" fontId="27" fillId="0" borderId="27" xfId="0" applyFont="1" applyFill="1" applyBorder="1" applyAlignment="1">
      <alignment horizontal="left"/>
    </xf>
    <xf numFmtId="0" fontId="27" fillId="0" borderId="28" xfId="0" applyFont="1" applyFill="1" applyBorder="1" applyAlignment="1">
      <alignment horizontal="left"/>
    </xf>
    <xf numFmtId="0" fontId="27" fillId="0" borderId="29" xfId="0" applyFont="1" applyFill="1" applyBorder="1" applyAlignment="1">
      <alignment horizontal="left"/>
    </xf>
    <xf numFmtId="0" fontId="27" fillId="0" borderId="30" xfId="0" applyFont="1" applyFill="1" applyBorder="1" applyAlignment="1">
      <alignment horizontal="left"/>
    </xf>
    <xf numFmtId="0" fontId="46" fillId="0" borderId="10" xfId="0" applyFont="1" applyBorder="1" applyAlignment="1">
      <alignment wrapText="1"/>
    </xf>
    <xf numFmtId="171" fontId="48" fillId="0" borderId="10" xfId="0" applyNumberFormat="1" applyFont="1" applyBorder="1" applyAlignment="1">
      <alignment horizontal="center"/>
    </xf>
    <xf numFmtId="174" fontId="42" fillId="0" borderId="10" xfId="42" applyNumberFormat="1" applyFont="1" applyBorder="1" applyAlignment="1">
      <alignment horizontal="center"/>
    </xf>
    <xf numFmtId="174" fontId="42" fillId="0" borderId="10" xfId="42" applyNumberFormat="1" applyFont="1" applyBorder="1" applyAlignment="1">
      <alignment horizontal="center"/>
    </xf>
    <xf numFmtId="174" fontId="42" fillId="0" borderId="10" xfId="42" applyNumberFormat="1" applyFont="1" applyBorder="1" applyAlignment="1">
      <alignment/>
    </xf>
    <xf numFmtId="174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10" sqref="S10"/>
    </sheetView>
  </sheetViews>
  <sheetFormatPr defaultColWidth="9.140625" defaultRowHeight="15"/>
  <cols>
    <col min="1" max="1" width="6.00390625" style="18" customWidth="1"/>
    <col min="2" max="2" width="13.00390625" style="44" customWidth="1"/>
    <col min="3" max="3" width="5.421875" style="5" customWidth="1"/>
    <col min="4" max="4" width="8.421875" style="44" customWidth="1"/>
    <col min="5" max="5" width="9.140625" style="18" customWidth="1"/>
    <col min="6" max="6" width="11.57421875" style="18" customWidth="1"/>
    <col min="7" max="7" width="12.140625" style="19" customWidth="1"/>
    <col min="8" max="8" width="13.140625" style="20" customWidth="1"/>
    <col min="9" max="9" width="7.8515625" style="5" customWidth="1"/>
    <col min="10" max="10" width="12.28125" style="5" customWidth="1"/>
    <col min="11" max="11" width="15.00390625" style="5" bestFit="1" customWidth="1"/>
    <col min="12" max="12" width="14.00390625" style="5" bestFit="1" customWidth="1"/>
    <col min="13" max="13" width="15.00390625" style="5" bestFit="1" customWidth="1"/>
    <col min="14" max="14" width="12.00390625" style="5" customWidth="1"/>
    <col min="15" max="15" width="10.57421875" style="5" customWidth="1"/>
    <col min="16" max="16" width="10.00390625" style="5" customWidth="1"/>
    <col min="17" max="17" width="10.7109375" style="5" customWidth="1"/>
    <col min="18" max="18" width="10.8515625" style="5" customWidth="1"/>
    <col min="19" max="19" width="13.421875" style="5" customWidth="1"/>
    <col min="20" max="16384" width="9.140625" style="5" customWidth="1"/>
  </cols>
  <sheetData>
    <row r="2" spans="1:19" ht="16.5" thickBot="1">
      <c r="A2" s="22" t="s">
        <v>127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30.75" customHeight="1" thickBot="1">
      <c r="A3" s="25" t="s">
        <v>0</v>
      </c>
      <c r="B3" s="47" t="s">
        <v>9</v>
      </c>
      <c r="C3" s="26" t="s">
        <v>2</v>
      </c>
      <c r="D3" s="36" t="s">
        <v>3</v>
      </c>
      <c r="E3" s="23" t="s">
        <v>4</v>
      </c>
      <c r="F3" s="26" t="s">
        <v>37</v>
      </c>
      <c r="G3" s="27" t="s">
        <v>5</v>
      </c>
      <c r="H3" s="27" t="s">
        <v>106</v>
      </c>
      <c r="I3" s="27" t="s">
        <v>6</v>
      </c>
      <c r="J3" s="28" t="s">
        <v>123</v>
      </c>
      <c r="K3" s="29"/>
      <c r="L3" s="30"/>
      <c r="M3" s="31" t="s">
        <v>107</v>
      </c>
      <c r="N3" s="27" t="s">
        <v>108</v>
      </c>
      <c r="O3" s="28" t="s">
        <v>122</v>
      </c>
      <c r="P3" s="29"/>
      <c r="Q3" s="30"/>
      <c r="R3" s="31" t="s">
        <v>125</v>
      </c>
      <c r="S3" s="27" t="s">
        <v>126</v>
      </c>
    </row>
    <row r="4" spans="1:19" ht="45.75" customHeight="1" thickBot="1">
      <c r="A4" s="32"/>
      <c r="B4" s="48" t="s">
        <v>1</v>
      </c>
      <c r="C4" s="33"/>
      <c r="D4" s="37"/>
      <c r="E4" s="24"/>
      <c r="F4" s="33"/>
      <c r="G4" s="34"/>
      <c r="H4" s="34"/>
      <c r="I4" s="34"/>
      <c r="J4" s="35">
        <v>2006</v>
      </c>
      <c r="K4" s="35">
        <v>2007</v>
      </c>
      <c r="L4" s="96">
        <v>2008</v>
      </c>
      <c r="M4" s="95"/>
      <c r="N4" s="34"/>
      <c r="O4" s="35">
        <v>2006</v>
      </c>
      <c r="P4" s="35">
        <v>2007</v>
      </c>
      <c r="Q4" s="96">
        <v>2007</v>
      </c>
      <c r="R4" s="95"/>
      <c r="S4" s="34"/>
    </row>
    <row r="5" spans="1:19" ht="15">
      <c r="A5" s="6">
        <v>1</v>
      </c>
      <c r="B5" s="38" t="s">
        <v>39</v>
      </c>
      <c r="C5" s="6">
        <v>1</v>
      </c>
      <c r="D5" s="38" t="s">
        <v>38</v>
      </c>
      <c r="E5" s="54">
        <v>24</v>
      </c>
      <c r="F5" s="54"/>
      <c r="G5" s="54">
        <v>1480</v>
      </c>
      <c r="H5" s="54">
        <v>1303.3</v>
      </c>
      <c r="I5" s="54"/>
      <c r="J5" s="55">
        <v>208.82</v>
      </c>
      <c r="K5" s="56">
        <v>173.4</v>
      </c>
      <c r="L5" s="56">
        <v>84.4</v>
      </c>
      <c r="M5" s="57">
        <f>(L5+K5+J5)/3</f>
        <v>155.54</v>
      </c>
      <c r="N5" s="58">
        <f>K5/H5*1000</f>
        <v>133.04688099439883</v>
      </c>
      <c r="O5" s="55">
        <v>56.58</v>
      </c>
      <c r="P5" s="56">
        <v>53.9</v>
      </c>
      <c r="Q5" s="55">
        <v>52.9</v>
      </c>
      <c r="R5" s="57">
        <f>(O5+P5+Q5)/3</f>
        <v>54.46</v>
      </c>
      <c r="S5" s="58">
        <f aca="true" t="shared" si="0" ref="S5:S68">R5/H5*1000</f>
        <v>41.78623494207013</v>
      </c>
    </row>
    <row r="6" spans="1:19" ht="15">
      <c r="A6" s="6">
        <v>2</v>
      </c>
      <c r="B6" s="38" t="s">
        <v>39</v>
      </c>
      <c r="C6" s="6">
        <v>3</v>
      </c>
      <c r="D6" s="38" t="s">
        <v>38</v>
      </c>
      <c r="E6" s="54">
        <v>27</v>
      </c>
      <c r="F6" s="54">
        <v>1975</v>
      </c>
      <c r="G6" s="54">
        <v>2000.7</v>
      </c>
      <c r="H6" s="54">
        <v>1311.1</v>
      </c>
      <c r="I6" s="54"/>
      <c r="J6" s="55">
        <v>198.96</v>
      </c>
      <c r="K6" s="56">
        <v>164.92</v>
      </c>
      <c r="L6" s="55">
        <v>145.69</v>
      </c>
      <c r="M6" s="57">
        <f>(L6+K6+J6)/3</f>
        <v>169.85666666666668</v>
      </c>
      <c r="N6" s="58">
        <f aca="true" t="shared" si="1" ref="N6:N69">M6/H6*1000</f>
        <v>129.55279282027814</v>
      </c>
      <c r="O6" s="55">
        <v>52.74</v>
      </c>
      <c r="P6" s="56">
        <v>48.98</v>
      </c>
      <c r="Q6" s="55">
        <v>46.29</v>
      </c>
      <c r="R6" s="57">
        <f aca="true" t="shared" si="2" ref="R6:R69">(O6+P6+Q6)/3</f>
        <v>49.336666666666666</v>
      </c>
      <c r="S6" s="58">
        <f t="shared" si="0"/>
        <v>37.62997991508403</v>
      </c>
    </row>
    <row r="7" spans="1:19" ht="15">
      <c r="A7" s="6">
        <v>3</v>
      </c>
      <c r="B7" s="38" t="s">
        <v>39</v>
      </c>
      <c r="C7" s="6">
        <v>15</v>
      </c>
      <c r="D7" s="38" t="s">
        <v>38</v>
      </c>
      <c r="E7" s="54">
        <v>80</v>
      </c>
      <c r="F7" s="54">
        <v>1983</v>
      </c>
      <c r="G7" s="54">
        <v>4392.7</v>
      </c>
      <c r="H7" s="54">
        <v>2992.3</v>
      </c>
      <c r="I7" s="54"/>
      <c r="J7" s="55">
        <v>452.07</v>
      </c>
      <c r="K7" s="56">
        <v>437.19</v>
      </c>
      <c r="L7" s="55">
        <v>411.7</v>
      </c>
      <c r="M7" s="57">
        <f>(L7+K7+J7)/3</f>
        <v>433.65333333333336</v>
      </c>
      <c r="N7" s="58">
        <f t="shared" si="1"/>
        <v>144.92308035067785</v>
      </c>
      <c r="O7" s="55">
        <v>213.43</v>
      </c>
      <c r="P7" s="56">
        <v>197.41</v>
      </c>
      <c r="Q7" s="55">
        <v>176.8</v>
      </c>
      <c r="R7" s="57">
        <f t="shared" si="2"/>
        <v>195.88000000000002</v>
      </c>
      <c r="S7" s="58">
        <f t="shared" si="0"/>
        <v>65.46135080038766</v>
      </c>
    </row>
    <row r="8" spans="1:19" ht="15">
      <c r="A8" s="6">
        <v>4</v>
      </c>
      <c r="B8" s="38" t="s">
        <v>40</v>
      </c>
      <c r="C8" s="6">
        <v>2</v>
      </c>
      <c r="D8" s="38" t="s">
        <v>38</v>
      </c>
      <c r="E8" s="54">
        <v>42</v>
      </c>
      <c r="F8" s="54"/>
      <c r="G8" s="59">
        <f>2848+288.1</f>
        <v>3136.1</v>
      </c>
      <c r="H8" s="54">
        <f>2700.7+403.34</f>
        <v>3104.04</v>
      </c>
      <c r="I8" s="54"/>
      <c r="J8" s="55">
        <f>57.83+320.77</f>
        <v>378.59999999999997</v>
      </c>
      <c r="K8" s="56">
        <f>328.1+49</f>
        <v>377.1</v>
      </c>
      <c r="L8" s="55">
        <v>340.87</v>
      </c>
      <c r="M8" s="57">
        <f aca="true" t="shared" si="3" ref="M8:M13">(L8+K8+J8)/3</f>
        <v>365.5233333333333</v>
      </c>
      <c r="N8" s="58">
        <f t="shared" si="1"/>
        <v>117.75728835109513</v>
      </c>
      <c r="O8" s="55">
        <f>3.33+95.32</f>
        <v>98.64999999999999</v>
      </c>
      <c r="P8" s="56">
        <f>98.56+3.09</f>
        <v>101.65</v>
      </c>
      <c r="Q8" s="55">
        <v>98.21</v>
      </c>
      <c r="R8" s="57">
        <f t="shared" si="2"/>
        <v>99.50333333333333</v>
      </c>
      <c r="S8" s="58">
        <f t="shared" si="0"/>
        <v>32.056073160569234</v>
      </c>
    </row>
    <row r="9" spans="1:19" ht="15">
      <c r="A9" s="6">
        <v>5</v>
      </c>
      <c r="B9" s="38" t="s">
        <v>40</v>
      </c>
      <c r="C9" s="6">
        <v>7</v>
      </c>
      <c r="D9" s="38" t="s">
        <v>38</v>
      </c>
      <c r="E9" s="54">
        <v>23</v>
      </c>
      <c r="F9" s="54">
        <v>1947</v>
      </c>
      <c r="G9" s="59">
        <v>2225</v>
      </c>
      <c r="H9" s="54">
        <f>907.6+91.48+82.04</f>
        <v>1081.1200000000001</v>
      </c>
      <c r="I9" s="54"/>
      <c r="J9" s="55">
        <f>13.44+14.97+147.76</f>
        <v>176.17</v>
      </c>
      <c r="K9" s="56">
        <f>162.72+17.2+15.42</f>
        <v>195.33999999999997</v>
      </c>
      <c r="L9" s="55">
        <v>143.53</v>
      </c>
      <c r="M9" s="57">
        <f t="shared" si="3"/>
        <v>171.67999999999998</v>
      </c>
      <c r="N9" s="58">
        <f t="shared" si="1"/>
        <v>158.79828326180254</v>
      </c>
      <c r="O9" s="56"/>
      <c r="P9" s="56">
        <v>0</v>
      </c>
      <c r="Q9" s="56"/>
      <c r="R9" s="57">
        <f t="shared" si="2"/>
        <v>0</v>
      </c>
      <c r="S9" s="58">
        <f t="shared" si="0"/>
        <v>0</v>
      </c>
    </row>
    <row r="10" spans="1:19" ht="15">
      <c r="A10" s="6">
        <v>6</v>
      </c>
      <c r="B10" s="39" t="s">
        <v>40</v>
      </c>
      <c r="C10" s="9">
        <v>3</v>
      </c>
      <c r="D10" s="39"/>
      <c r="E10" s="56"/>
      <c r="F10" s="56"/>
      <c r="G10" s="55">
        <v>2296.3</v>
      </c>
      <c r="H10" s="55">
        <v>2296.3</v>
      </c>
      <c r="I10" s="56"/>
      <c r="J10" s="55">
        <v>280.73</v>
      </c>
      <c r="K10" s="55">
        <v>268.94</v>
      </c>
      <c r="L10" s="55">
        <v>256.06</v>
      </c>
      <c r="M10" s="57">
        <f t="shared" si="3"/>
        <v>268.57666666666665</v>
      </c>
      <c r="N10" s="58">
        <f t="shared" si="1"/>
        <v>116.96061780545513</v>
      </c>
      <c r="O10" s="56">
        <v>0</v>
      </c>
      <c r="P10" s="56">
        <v>0</v>
      </c>
      <c r="Q10" s="56">
        <v>0</v>
      </c>
      <c r="R10" s="57">
        <f t="shared" si="2"/>
        <v>0</v>
      </c>
      <c r="S10" s="58">
        <f t="shared" si="0"/>
        <v>0</v>
      </c>
    </row>
    <row r="11" spans="1:19" ht="15">
      <c r="A11" s="6">
        <v>7</v>
      </c>
      <c r="B11" s="38" t="s">
        <v>40</v>
      </c>
      <c r="C11" s="6">
        <v>16</v>
      </c>
      <c r="D11" s="38" t="s">
        <v>38</v>
      </c>
      <c r="E11" s="54">
        <v>20</v>
      </c>
      <c r="F11" s="54"/>
      <c r="G11" s="59">
        <v>1136</v>
      </c>
      <c r="H11" s="54">
        <v>1062.7</v>
      </c>
      <c r="I11" s="54"/>
      <c r="J11" s="55">
        <v>197.57</v>
      </c>
      <c r="K11" s="56">
        <v>190.85</v>
      </c>
      <c r="L11" s="55">
        <v>157.2</v>
      </c>
      <c r="M11" s="57">
        <f t="shared" si="3"/>
        <v>181.8733333333333</v>
      </c>
      <c r="N11" s="58">
        <f t="shared" si="1"/>
        <v>171.14268686678582</v>
      </c>
      <c r="O11" s="55">
        <v>33.52</v>
      </c>
      <c r="P11" s="56">
        <v>33.67</v>
      </c>
      <c r="Q11" s="55">
        <v>33.3</v>
      </c>
      <c r="R11" s="57">
        <f t="shared" si="2"/>
        <v>33.49666666666666</v>
      </c>
      <c r="S11" s="58">
        <f t="shared" si="0"/>
        <v>31.52034126909444</v>
      </c>
    </row>
    <row r="12" spans="1:19" ht="15">
      <c r="A12" s="6">
        <v>8</v>
      </c>
      <c r="B12" s="38" t="s">
        <v>40</v>
      </c>
      <c r="C12" s="6">
        <v>22</v>
      </c>
      <c r="D12" s="38" t="s">
        <v>38</v>
      </c>
      <c r="E12" s="59">
        <v>15</v>
      </c>
      <c r="F12" s="54"/>
      <c r="G12" s="59">
        <f>853.7+62.37+53.5+94.9</f>
        <v>1064.47</v>
      </c>
      <c r="H12" s="54">
        <f>833.92+102.87+53.5+132.86</f>
        <v>1123.15</v>
      </c>
      <c r="I12" s="54"/>
      <c r="J12" s="55">
        <f>8.69+21.57+16.7+135.38</f>
        <v>182.33999999999997</v>
      </c>
      <c r="K12" s="56">
        <f>20.91+131.273+16.2+8.42</f>
        <v>176.80299999999997</v>
      </c>
      <c r="L12" s="55">
        <v>17.95</v>
      </c>
      <c r="M12" s="57">
        <f t="shared" si="3"/>
        <v>125.69766666666665</v>
      </c>
      <c r="N12" s="58">
        <f t="shared" si="1"/>
        <v>111.91529774889074</v>
      </c>
      <c r="O12" s="55">
        <f>1.32+1.6+51.64</f>
        <v>54.56</v>
      </c>
      <c r="P12" s="56">
        <f>51.26+1.649+1.558</f>
        <v>54.467</v>
      </c>
      <c r="Q12" s="56">
        <v>0</v>
      </c>
      <c r="R12" s="57">
        <f t="shared" si="2"/>
        <v>36.342333333333336</v>
      </c>
      <c r="S12" s="58">
        <f t="shared" si="0"/>
        <v>32.35750641796139</v>
      </c>
    </row>
    <row r="13" spans="1:19" ht="15">
      <c r="A13" s="6">
        <v>9</v>
      </c>
      <c r="B13" s="38" t="s">
        <v>40</v>
      </c>
      <c r="C13" s="6">
        <v>28</v>
      </c>
      <c r="D13" s="38" t="s">
        <v>38</v>
      </c>
      <c r="E13" s="54"/>
      <c r="F13" s="54">
        <v>1951</v>
      </c>
      <c r="G13" s="54">
        <v>3562.5</v>
      </c>
      <c r="H13" s="54">
        <f>3367+61.2</f>
        <v>3428.2</v>
      </c>
      <c r="I13" s="54"/>
      <c r="J13" s="55">
        <f>515.93+9.38</f>
        <v>525.31</v>
      </c>
      <c r="K13" s="56">
        <f>447.7+8.68</f>
        <v>456.38</v>
      </c>
      <c r="L13" s="55">
        <v>424.59</v>
      </c>
      <c r="M13" s="57">
        <f t="shared" si="3"/>
        <v>468.76</v>
      </c>
      <c r="N13" s="58">
        <f t="shared" si="1"/>
        <v>136.73647978531008</v>
      </c>
      <c r="O13" s="55">
        <v>157.14</v>
      </c>
      <c r="P13" s="56">
        <v>169.54</v>
      </c>
      <c r="Q13" s="55">
        <v>154</v>
      </c>
      <c r="R13" s="57">
        <f t="shared" si="2"/>
        <v>160.22666666666666</v>
      </c>
      <c r="S13" s="58">
        <f t="shared" si="0"/>
        <v>46.73784104389087</v>
      </c>
    </row>
    <row r="14" spans="1:19" ht="26.25">
      <c r="A14" s="6">
        <v>10</v>
      </c>
      <c r="B14" s="49" t="s">
        <v>41</v>
      </c>
      <c r="C14" s="11" t="s">
        <v>42</v>
      </c>
      <c r="D14" s="40" t="s">
        <v>43</v>
      </c>
      <c r="E14" s="54">
        <v>56</v>
      </c>
      <c r="F14" s="54">
        <v>1986</v>
      </c>
      <c r="G14" s="54">
        <v>3789.2</v>
      </c>
      <c r="H14" s="54">
        <v>1840.8</v>
      </c>
      <c r="I14" s="54"/>
      <c r="J14" s="60">
        <v>319.77</v>
      </c>
      <c r="K14" s="55">
        <v>313.68</v>
      </c>
      <c r="L14" s="60">
        <v>273.3578831113236</v>
      </c>
      <c r="M14" s="57">
        <f aca="true" t="shared" si="4" ref="M14:M19">(L14+K14+J14)/3</f>
        <v>302.2692943704412</v>
      </c>
      <c r="N14" s="58">
        <f t="shared" si="1"/>
        <v>164.20539676794934</v>
      </c>
      <c r="O14" s="60">
        <v>151.06</v>
      </c>
      <c r="P14" s="55">
        <v>158.22</v>
      </c>
      <c r="Q14" s="60">
        <v>156.30211688867638</v>
      </c>
      <c r="R14" s="57">
        <f t="shared" si="2"/>
        <v>155.1940389628921</v>
      </c>
      <c r="S14" s="58">
        <f t="shared" si="0"/>
        <v>84.30793077080189</v>
      </c>
    </row>
    <row r="15" spans="1:19" ht="26.25">
      <c r="A15" s="6">
        <v>11</v>
      </c>
      <c r="B15" s="49" t="s">
        <v>41</v>
      </c>
      <c r="C15" s="11" t="s">
        <v>101</v>
      </c>
      <c r="D15" s="40" t="s">
        <v>43</v>
      </c>
      <c r="E15" s="54">
        <v>75</v>
      </c>
      <c r="F15" s="54"/>
      <c r="G15" s="54">
        <v>3916.2</v>
      </c>
      <c r="H15" s="54">
        <v>2384</v>
      </c>
      <c r="I15" s="54"/>
      <c r="J15" s="60">
        <v>393.04</v>
      </c>
      <c r="K15" s="55">
        <v>359.8</v>
      </c>
      <c r="L15" s="60">
        <v>332.55032364842145</v>
      </c>
      <c r="M15" s="57">
        <f t="shared" si="4"/>
        <v>361.7967745494738</v>
      </c>
      <c r="N15" s="58">
        <f t="shared" si="1"/>
        <v>151.7603920090075</v>
      </c>
      <c r="O15" s="60">
        <v>233.26</v>
      </c>
      <c r="P15" s="55">
        <v>230</v>
      </c>
      <c r="Q15" s="60">
        <v>232.81967635157838</v>
      </c>
      <c r="R15" s="57">
        <f t="shared" si="2"/>
        <v>232.02655878385949</v>
      </c>
      <c r="S15" s="58">
        <f t="shared" si="0"/>
        <v>97.326576671082</v>
      </c>
    </row>
    <row r="16" spans="1:19" ht="26.25">
      <c r="A16" s="6">
        <v>12</v>
      </c>
      <c r="B16" s="49" t="s">
        <v>41</v>
      </c>
      <c r="C16" s="11" t="s">
        <v>102</v>
      </c>
      <c r="D16" s="40" t="s">
        <v>43</v>
      </c>
      <c r="E16" s="54">
        <v>42</v>
      </c>
      <c r="F16" s="54"/>
      <c r="G16" s="54">
        <v>2206.8</v>
      </c>
      <c r="H16" s="54">
        <v>1354</v>
      </c>
      <c r="I16" s="54"/>
      <c r="J16" s="60">
        <v>290.74</v>
      </c>
      <c r="K16" s="55">
        <v>272.69</v>
      </c>
      <c r="L16" s="60">
        <v>246.011360874239</v>
      </c>
      <c r="M16" s="57">
        <f t="shared" si="4"/>
        <v>269.8137869580797</v>
      </c>
      <c r="N16" s="58">
        <f t="shared" si="1"/>
        <v>199.27162995426858</v>
      </c>
      <c r="O16" s="60">
        <v>119.36</v>
      </c>
      <c r="P16" s="55">
        <v>115.51</v>
      </c>
      <c r="Q16" s="60">
        <v>118.73863912576093</v>
      </c>
      <c r="R16" s="57">
        <f t="shared" si="2"/>
        <v>117.86954637525365</v>
      </c>
      <c r="S16" s="58">
        <f t="shared" si="0"/>
        <v>87.05284074981806</v>
      </c>
    </row>
    <row r="17" spans="1:19" ht="26.25">
      <c r="A17" s="6">
        <v>13</v>
      </c>
      <c r="B17" s="49" t="s">
        <v>41</v>
      </c>
      <c r="C17" s="11" t="s">
        <v>44</v>
      </c>
      <c r="D17" s="40" t="s">
        <v>43</v>
      </c>
      <c r="E17" s="54">
        <v>78</v>
      </c>
      <c r="F17" s="54">
        <v>1987</v>
      </c>
      <c r="G17" s="54">
        <v>3072.4</v>
      </c>
      <c r="H17" s="54">
        <v>1718.5</v>
      </c>
      <c r="I17" s="54"/>
      <c r="J17" s="60">
        <v>426.62</v>
      </c>
      <c r="K17" s="55">
        <v>399.53</v>
      </c>
      <c r="L17" s="60">
        <v>349.3764673720505</v>
      </c>
      <c r="M17" s="57">
        <f t="shared" si="4"/>
        <v>391.8421557906834</v>
      </c>
      <c r="N17" s="58">
        <f t="shared" si="1"/>
        <v>228.01405632277186</v>
      </c>
      <c r="O17" s="60">
        <v>164.78</v>
      </c>
      <c r="P17" s="55">
        <v>166.95</v>
      </c>
      <c r="Q17" s="60">
        <v>171.82353262794945</v>
      </c>
      <c r="R17" s="57">
        <f t="shared" si="2"/>
        <v>167.85117754264982</v>
      </c>
      <c r="S17" s="58">
        <f t="shared" si="0"/>
        <v>97.67307392647648</v>
      </c>
    </row>
    <row r="18" spans="1:19" ht="26.25">
      <c r="A18" s="6">
        <v>14</v>
      </c>
      <c r="B18" s="49" t="s">
        <v>41</v>
      </c>
      <c r="C18" s="11" t="s">
        <v>45</v>
      </c>
      <c r="D18" s="40" t="s">
        <v>43</v>
      </c>
      <c r="E18" s="54">
        <v>90</v>
      </c>
      <c r="F18" s="54">
        <v>1984</v>
      </c>
      <c r="G18" s="54">
        <v>5338.2</v>
      </c>
      <c r="H18" s="54">
        <v>3363.6</v>
      </c>
      <c r="I18" s="54"/>
      <c r="J18" s="61">
        <v>580.02</v>
      </c>
      <c r="K18" s="55">
        <v>592.26</v>
      </c>
      <c r="L18" s="61">
        <v>505.87</v>
      </c>
      <c r="M18" s="57">
        <f>(L18+K18+J18)/3</f>
        <v>559.3833333333333</v>
      </c>
      <c r="N18" s="58">
        <f t="shared" si="1"/>
        <v>166.30495104451578</v>
      </c>
      <c r="O18" s="61">
        <v>293.68</v>
      </c>
      <c r="P18" s="55">
        <v>310.76</v>
      </c>
      <c r="Q18" s="61">
        <v>309.57</v>
      </c>
      <c r="R18" s="57">
        <f t="shared" si="2"/>
        <v>304.67</v>
      </c>
      <c r="S18" s="58">
        <f t="shared" si="0"/>
        <v>90.5785467951005</v>
      </c>
    </row>
    <row r="19" spans="1:19" ht="15" customHeight="1">
      <c r="A19" s="6">
        <v>15</v>
      </c>
      <c r="B19" s="49" t="s">
        <v>41</v>
      </c>
      <c r="C19" s="11" t="s">
        <v>46</v>
      </c>
      <c r="D19" s="40" t="s">
        <v>43</v>
      </c>
      <c r="E19" s="54">
        <v>60</v>
      </c>
      <c r="F19" s="54">
        <v>1993</v>
      </c>
      <c r="G19" s="54">
        <v>3233.8</v>
      </c>
      <c r="H19" s="54">
        <v>2003.8</v>
      </c>
      <c r="I19" s="54"/>
      <c r="J19" s="60">
        <v>334.2</v>
      </c>
      <c r="K19" s="55">
        <v>275.5</v>
      </c>
      <c r="L19" s="60">
        <v>238.2921055726716</v>
      </c>
      <c r="M19" s="57">
        <f t="shared" si="4"/>
        <v>282.6640351908905</v>
      </c>
      <c r="N19" s="58">
        <f t="shared" si="1"/>
        <v>141.06399600303948</v>
      </c>
      <c r="O19" s="60">
        <v>200.1</v>
      </c>
      <c r="P19" s="55">
        <v>205.85</v>
      </c>
      <c r="Q19" s="60">
        <v>207.05789442732853</v>
      </c>
      <c r="R19" s="57">
        <f t="shared" si="2"/>
        <v>204.33596480910953</v>
      </c>
      <c r="S19" s="58">
        <f t="shared" si="0"/>
        <v>101.97423136496134</v>
      </c>
    </row>
    <row r="20" spans="1:19" ht="15">
      <c r="A20" s="6">
        <v>16</v>
      </c>
      <c r="B20" s="38" t="s">
        <v>47</v>
      </c>
      <c r="C20" s="6">
        <v>4</v>
      </c>
      <c r="D20" s="38" t="s">
        <v>38</v>
      </c>
      <c r="E20" s="54">
        <v>112</v>
      </c>
      <c r="F20" s="54">
        <v>1972</v>
      </c>
      <c r="G20" s="54">
        <v>6090</v>
      </c>
      <c r="H20" s="54">
        <f>2783.71+2787.45</f>
        <v>5571.16</v>
      </c>
      <c r="I20" s="54"/>
      <c r="J20" s="55">
        <f>470.43+431.68</f>
        <v>902.11</v>
      </c>
      <c r="K20" s="56">
        <f>419.42+450.09</f>
        <v>869.51</v>
      </c>
      <c r="L20" s="55">
        <v>752.12</v>
      </c>
      <c r="M20" s="57">
        <f aca="true" t="shared" si="5" ref="M20:M26">(L20+K20+J20)/3</f>
        <v>841.2466666666668</v>
      </c>
      <c r="N20" s="58">
        <f t="shared" si="1"/>
        <v>151.00027044038706</v>
      </c>
      <c r="O20" s="55">
        <f>165.27+181.02</f>
        <v>346.29</v>
      </c>
      <c r="P20" s="56">
        <f>177.93+152.31</f>
        <v>330.24</v>
      </c>
      <c r="Q20" s="55">
        <v>346.08</v>
      </c>
      <c r="R20" s="57">
        <f t="shared" si="2"/>
        <v>340.86999999999995</v>
      </c>
      <c r="S20" s="58">
        <f t="shared" si="0"/>
        <v>61.184744290237575</v>
      </c>
    </row>
    <row r="21" spans="1:19" ht="15">
      <c r="A21" s="6">
        <v>17</v>
      </c>
      <c r="B21" s="38" t="s">
        <v>47</v>
      </c>
      <c r="C21" s="6">
        <v>6</v>
      </c>
      <c r="D21" s="38" t="s">
        <v>38</v>
      </c>
      <c r="E21" s="54">
        <v>80</v>
      </c>
      <c r="F21" s="54">
        <v>1982</v>
      </c>
      <c r="G21" s="54">
        <v>5174.5</v>
      </c>
      <c r="H21" s="54">
        <v>3920.66</v>
      </c>
      <c r="I21" s="54"/>
      <c r="J21" s="55">
        <v>497.17</v>
      </c>
      <c r="K21" s="56">
        <v>464.81</v>
      </c>
      <c r="L21" s="55">
        <v>399.08</v>
      </c>
      <c r="M21" s="57">
        <f t="shared" si="5"/>
        <v>453.68666666666667</v>
      </c>
      <c r="N21" s="58">
        <f t="shared" si="1"/>
        <v>115.71691160841968</v>
      </c>
      <c r="O21" s="55">
        <v>196.83</v>
      </c>
      <c r="P21" s="56">
        <v>194.29</v>
      </c>
      <c r="Q21" s="55">
        <v>187.42</v>
      </c>
      <c r="R21" s="57">
        <f t="shared" si="2"/>
        <v>192.84666666666666</v>
      </c>
      <c r="S21" s="58">
        <f t="shared" si="0"/>
        <v>49.187296696644616</v>
      </c>
    </row>
    <row r="22" spans="1:19" ht="15">
      <c r="A22" s="6">
        <v>18</v>
      </c>
      <c r="B22" s="38" t="s">
        <v>47</v>
      </c>
      <c r="C22" s="6">
        <v>8</v>
      </c>
      <c r="D22" s="38" t="s">
        <v>38</v>
      </c>
      <c r="E22" s="54">
        <v>56</v>
      </c>
      <c r="F22" s="54"/>
      <c r="G22" s="59">
        <f>2814+2810</f>
        <v>5624</v>
      </c>
      <c r="H22" s="54">
        <v>2856.6</v>
      </c>
      <c r="I22" s="54"/>
      <c r="J22" s="55">
        <v>362.67</v>
      </c>
      <c r="K22" s="56">
        <v>319.49</v>
      </c>
      <c r="L22" s="55">
        <v>291.27</v>
      </c>
      <c r="M22" s="57">
        <f t="shared" si="5"/>
        <v>324.4766666666667</v>
      </c>
      <c r="N22" s="58">
        <f t="shared" si="1"/>
        <v>113.58841513220847</v>
      </c>
      <c r="O22" s="55">
        <v>155.53</v>
      </c>
      <c r="P22" s="56">
        <v>160.91</v>
      </c>
      <c r="Q22" s="55">
        <v>164.83</v>
      </c>
      <c r="R22" s="57">
        <f t="shared" si="2"/>
        <v>160.42333333333332</v>
      </c>
      <c r="S22" s="58">
        <f t="shared" si="0"/>
        <v>56.15883684566734</v>
      </c>
    </row>
    <row r="23" spans="1:19" ht="20.25" customHeight="1">
      <c r="A23" s="6">
        <v>19</v>
      </c>
      <c r="B23" s="38" t="s">
        <v>47</v>
      </c>
      <c r="C23" s="6">
        <v>10</v>
      </c>
      <c r="D23" s="38" t="s">
        <v>38</v>
      </c>
      <c r="E23" s="54">
        <v>84</v>
      </c>
      <c r="F23" s="54">
        <v>1983</v>
      </c>
      <c r="G23" s="59">
        <v>3957</v>
      </c>
      <c r="H23" s="54">
        <f>2111.8+2178.8</f>
        <v>4290.6</v>
      </c>
      <c r="I23" s="54"/>
      <c r="J23" s="55">
        <f>315.88+292.57</f>
        <v>608.45</v>
      </c>
      <c r="K23" s="56">
        <f>291.88+248.99</f>
        <v>540.87</v>
      </c>
      <c r="L23" s="55">
        <v>247.2</v>
      </c>
      <c r="M23" s="57">
        <f t="shared" si="5"/>
        <v>465.50666666666666</v>
      </c>
      <c r="N23" s="58">
        <f t="shared" si="1"/>
        <v>108.49453844839105</v>
      </c>
      <c r="O23" s="55">
        <f>129.32+126.03</f>
        <v>255.35</v>
      </c>
      <c r="P23" s="56">
        <f>128.42+125.91</f>
        <v>254.32999999999998</v>
      </c>
      <c r="Q23" s="55">
        <v>129</v>
      </c>
      <c r="R23" s="57">
        <f t="shared" si="2"/>
        <v>212.89333333333332</v>
      </c>
      <c r="S23" s="58">
        <f t="shared" si="0"/>
        <v>49.618545968706776</v>
      </c>
    </row>
    <row r="24" spans="1:19" ht="15">
      <c r="A24" s="6">
        <v>20</v>
      </c>
      <c r="B24" s="38" t="s">
        <v>47</v>
      </c>
      <c r="C24" s="6">
        <v>12</v>
      </c>
      <c r="D24" s="38" t="s">
        <v>38</v>
      </c>
      <c r="E24" s="54">
        <v>84</v>
      </c>
      <c r="F24" s="54">
        <v>1984</v>
      </c>
      <c r="G24" s="59">
        <v>2888</v>
      </c>
      <c r="H24" s="54">
        <f>2852.05+1450.3</f>
        <v>4302.35</v>
      </c>
      <c r="I24" s="54"/>
      <c r="J24" s="55">
        <f>252.24+440.26</f>
        <v>692.5</v>
      </c>
      <c r="K24" s="56">
        <f>336.2+202.03</f>
        <v>538.23</v>
      </c>
      <c r="L24" s="55">
        <v>514.15</v>
      </c>
      <c r="M24" s="57">
        <f t="shared" si="5"/>
        <v>581.6266666666667</v>
      </c>
      <c r="N24" s="58">
        <f t="shared" si="1"/>
        <v>135.18813361689928</v>
      </c>
      <c r="O24" s="55">
        <f>100.98+162.35</f>
        <v>263.33</v>
      </c>
      <c r="P24" s="56">
        <f>151.8+96.07</f>
        <v>247.87</v>
      </c>
      <c r="Q24" s="55">
        <v>265.85</v>
      </c>
      <c r="R24" s="57">
        <f t="shared" si="2"/>
        <v>259.01666666666665</v>
      </c>
      <c r="S24" s="58">
        <f t="shared" si="0"/>
        <v>60.203532178150695</v>
      </c>
    </row>
    <row r="25" spans="1:19" ht="15">
      <c r="A25" s="6">
        <v>21</v>
      </c>
      <c r="B25" s="38" t="s">
        <v>47</v>
      </c>
      <c r="C25" s="6">
        <v>14</v>
      </c>
      <c r="D25" s="38" t="s">
        <v>38</v>
      </c>
      <c r="E25" s="54">
        <v>60</v>
      </c>
      <c r="F25" s="54"/>
      <c r="G25" s="59">
        <f>2176+2179</f>
        <v>4355</v>
      </c>
      <c r="H25" s="54">
        <v>2949.75</v>
      </c>
      <c r="I25" s="54"/>
      <c r="J25" s="55">
        <v>399.03</v>
      </c>
      <c r="K25" s="56">
        <v>391.86</v>
      </c>
      <c r="L25" s="55">
        <v>327.45</v>
      </c>
      <c r="M25" s="57">
        <f t="shared" si="5"/>
        <v>372.78</v>
      </c>
      <c r="N25" s="58">
        <f t="shared" si="1"/>
        <v>126.37681159420289</v>
      </c>
      <c r="O25" s="55">
        <v>194.47</v>
      </c>
      <c r="P25" s="56">
        <v>187.84</v>
      </c>
      <c r="Q25" s="55">
        <v>171.55</v>
      </c>
      <c r="R25" s="57">
        <f t="shared" si="2"/>
        <v>184.62</v>
      </c>
      <c r="S25" s="58">
        <f t="shared" si="0"/>
        <v>62.58835494533435</v>
      </c>
    </row>
    <row r="26" spans="1:19" ht="13.5" customHeight="1">
      <c r="A26" s="6">
        <v>22</v>
      </c>
      <c r="B26" s="38" t="s">
        <v>47</v>
      </c>
      <c r="C26" s="6">
        <v>16</v>
      </c>
      <c r="D26" s="38" t="s">
        <v>38</v>
      </c>
      <c r="E26" s="54">
        <v>135</v>
      </c>
      <c r="F26" s="54">
        <v>1986</v>
      </c>
      <c r="G26" s="59">
        <f>2951+1450</f>
        <v>4401</v>
      </c>
      <c r="H26" s="54">
        <f>2198.61+2224.3</f>
        <v>4422.91</v>
      </c>
      <c r="I26" s="54"/>
      <c r="J26" s="55">
        <f>280.68+268.6</f>
        <v>549.28</v>
      </c>
      <c r="K26" s="56">
        <f>246.89+251.43</f>
        <v>498.32</v>
      </c>
      <c r="L26" s="55">
        <v>402.69</v>
      </c>
      <c r="M26" s="57">
        <f t="shared" si="5"/>
        <v>483.43</v>
      </c>
      <c r="N26" s="58">
        <f t="shared" si="1"/>
        <v>109.3013423289192</v>
      </c>
      <c r="O26" s="55">
        <f>159.01+144.8</f>
        <v>303.81</v>
      </c>
      <c r="P26" s="56">
        <f>161.01+132.87</f>
        <v>293.88</v>
      </c>
      <c r="Q26" s="55">
        <v>275.1</v>
      </c>
      <c r="R26" s="57">
        <f t="shared" si="2"/>
        <v>290.93</v>
      </c>
      <c r="S26" s="58">
        <f t="shared" si="0"/>
        <v>65.7779606639068</v>
      </c>
    </row>
    <row r="27" spans="1:19" s="4" customFormat="1" ht="15">
      <c r="A27" s="2">
        <v>23</v>
      </c>
      <c r="B27" s="38" t="s">
        <v>47</v>
      </c>
      <c r="C27" s="2" t="s">
        <v>117</v>
      </c>
      <c r="D27" s="38"/>
      <c r="E27" s="74"/>
      <c r="F27" s="74"/>
      <c r="G27" s="97">
        <v>3970</v>
      </c>
      <c r="H27" s="97">
        <v>3970</v>
      </c>
      <c r="I27" s="74"/>
      <c r="J27" s="76">
        <v>191.7</v>
      </c>
      <c r="K27" s="77">
        <v>160.19</v>
      </c>
      <c r="L27" s="76">
        <v>84.12020000000001</v>
      </c>
      <c r="M27" s="78">
        <f>(L27+K27+J27)/3</f>
        <v>145.33673333333334</v>
      </c>
      <c r="N27" s="79">
        <f t="shared" si="1"/>
        <v>36.608748950461795</v>
      </c>
      <c r="O27" s="76">
        <v>247.99</v>
      </c>
      <c r="P27" s="77">
        <v>232.82</v>
      </c>
      <c r="Q27" s="76">
        <v>288.6838</v>
      </c>
      <c r="R27" s="78">
        <f t="shared" si="2"/>
        <v>256.4979333333333</v>
      </c>
      <c r="S27" s="79">
        <f t="shared" si="0"/>
        <v>64.60905121746431</v>
      </c>
    </row>
    <row r="28" spans="1:19" ht="15">
      <c r="A28" s="6">
        <v>24</v>
      </c>
      <c r="B28" s="38" t="s">
        <v>7</v>
      </c>
      <c r="C28" s="6">
        <v>15</v>
      </c>
      <c r="D28" s="38" t="s">
        <v>8</v>
      </c>
      <c r="E28" s="54">
        <v>45</v>
      </c>
      <c r="F28" s="54">
        <v>1989</v>
      </c>
      <c r="G28" s="62">
        <v>2190.2</v>
      </c>
      <c r="H28" s="62">
        <v>2033.4</v>
      </c>
      <c r="I28" s="86">
        <v>127</v>
      </c>
      <c r="J28" s="60">
        <v>292.74</v>
      </c>
      <c r="K28" s="55">
        <v>260.72</v>
      </c>
      <c r="L28" s="60">
        <v>214.01304757123708</v>
      </c>
      <c r="M28" s="57">
        <f>(L28+K28+J28)/3</f>
        <v>255.82434919041236</v>
      </c>
      <c r="N28" s="58">
        <f t="shared" si="1"/>
        <v>125.81112874516198</v>
      </c>
      <c r="O28" s="60">
        <v>142.88</v>
      </c>
      <c r="P28" s="55">
        <v>142.58</v>
      </c>
      <c r="Q28" s="60">
        <v>132.19695242876293</v>
      </c>
      <c r="R28" s="57">
        <f t="shared" si="2"/>
        <v>139.218984142921</v>
      </c>
      <c r="S28" s="58">
        <f t="shared" si="0"/>
        <v>68.46610806674583</v>
      </c>
    </row>
    <row r="29" spans="1:19" ht="15">
      <c r="A29" s="6">
        <v>25</v>
      </c>
      <c r="B29" s="38" t="s">
        <v>48</v>
      </c>
      <c r="C29" s="6">
        <v>68</v>
      </c>
      <c r="D29" s="38" t="s">
        <v>38</v>
      </c>
      <c r="E29" s="54">
        <v>95</v>
      </c>
      <c r="F29" s="54">
        <v>1989</v>
      </c>
      <c r="G29" s="54">
        <v>6279.3</v>
      </c>
      <c r="H29" s="54">
        <f>1462.9+3209.69</f>
        <v>4672.59</v>
      </c>
      <c r="I29" s="54"/>
      <c r="J29" s="55">
        <f>175.33+386.51</f>
        <v>561.84</v>
      </c>
      <c r="K29" s="56">
        <f>171.03+389.17</f>
        <v>560.2</v>
      </c>
      <c r="L29" s="55">
        <v>507.11</v>
      </c>
      <c r="M29" s="57">
        <f aca="true" t="shared" si="6" ref="M29:M35">(L29+K29+J29)/3</f>
        <v>543.0500000000001</v>
      </c>
      <c r="N29" s="58">
        <f t="shared" si="1"/>
        <v>116.220340325173</v>
      </c>
      <c r="O29" s="55">
        <f>92.45+206.49</f>
        <v>298.94</v>
      </c>
      <c r="P29" s="56">
        <f>86.67+201.49</f>
        <v>288.16</v>
      </c>
      <c r="Q29" s="55">
        <v>275.25</v>
      </c>
      <c r="R29" s="57">
        <f t="shared" si="2"/>
        <v>287.45</v>
      </c>
      <c r="S29" s="58">
        <f t="shared" si="0"/>
        <v>61.51834421594875</v>
      </c>
    </row>
    <row r="30" spans="1:19" ht="15">
      <c r="A30" s="6">
        <v>26</v>
      </c>
      <c r="B30" s="38" t="s">
        <v>48</v>
      </c>
      <c r="C30" s="6">
        <v>70</v>
      </c>
      <c r="D30" s="38" t="s">
        <v>38</v>
      </c>
      <c r="E30" s="54">
        <v>60</v>
      </c>
      <c r="F30" s="54">
        <v>1988</v>
      </c>
      <c r="G30" s="54">
        <v>3790.9</v>
      </c>
      <c r="H30" s="54">
        <v>2885.4</v>
      </c>
      <c r="I30" s="54"/>
      <c r="J30" s="55">
        <v>405.47</v>
      </c>
      <c r="K30" s="56">
        <v>397.76</v>
      </c>
      <c r="L30" s="55">
        <v>360.32</v>
      </c>
      <c r="M30" s="57">
        <f t="shared" si="6"/>
        <v>387.84999999999997</v>
      </c>
      <c r="N30" s="58">
        <f t="shared" si="1"/>
        <v>134.4181049421224</v>
      </c>
      <c r="O30" s="55">
        <v>177.43</v>
      </c>
      <c r="P30" s="56">
        <v>189.14</v>
      </c>
      <c r="Q30" s="55">
        <v>157.85</v>
      </c>
      <c r="R30" s="57">
        <f t="shared" si="2"/>
        <v>174.80666666666664</v>
      </c>
      <c r="S30" s="58">
        <f t="shared" si="0"/>
        <v>60.58316582334049</v>
      </c>
    </row>
    <row r="31" spans="1:19" ht="15">
      <c r="A31" s="6">
        <v>27</v>
      </c>
      <c r="B31" s="38" t="s">
        <v>48</v>
      </c>
      <c r="C31" s="6">
        <v>72</v>
      </c>
      <c r="D31" s="38" t="s">
        <v>38</v>
      </c>
      <c r="E31" s="54">
        <v>45</v>
      </c>
      <c r="F31" s="54">
        <v>1988</v>
      </c>
      <c r="G31" s="54">
        <v>2848.3</v>
      </c>
      <c r="H31" s="54">
        <v>2170.1</v>
      </c>
      <c r="I31" s="54"/>
      <c r="J31" s="55">
        <v>290.81</v>
      </c>
      <c r="K31" s="56">
        <v>288.53</v>
      </c>
      <c r="L31" s="55">
        <v>261.26</v>
      </c>
      <c r="M31" s="57">
        <f t="shared" si="6"/>
        <v>280.2</v>
      </c>
      <c r="N31" s="58">
        <f t="shared" si="1"/>
        <v>129.11847380305056</v>
      </c>
      <c r="O31" s="55">
        <v>108.19</v>
      </c>
      <c r="P31" s="56">
        <v>103.67</v>
      </c>
      <c r="Q31" s="55">
        <v>107.44</v>
      </c>
      <c r="R31" s="57">
        <f t="shared" si="2"/>
        <v>106.43333333333334</v>
      </c>
      <c r="S31" s="58">
        <f t="shared" si="0"/>
        <v>49.04535889283136</v>
      </c>
    </row>
    <row r="32" spans="1:19" ht="15">
      <c r="A32" s="6">
        <v>28</v>
      </c>
      <c r="B32" s="38" t="s">
        <v>48</v>
      </c>
      <c r="C32" s="6">
        <v>76</v>
      </c>
      <c r="D32" s="38" t="s">
        <v>38</v>
      </c>
      <c r="E32" s="54">
        <v>45</v>
      </c>
      <c r="F32" s="54">
        <v>1987</v>
      </c>
      <c r="G32" s="54">
        <v>2831.7</v>
      </c>
      <c r="H32" s="54">
        <v>2162</v>
      </c>
      <c r="I32" s="54"/>
      <c r="J32" s="55">
        <v>292.83</v>
      </c>
      <c r="K32" s="56">
        <v>282.66</v>
      </c>
      <c r="L32" s="55">
        <v>283.68</v>
      </c>
      <c r="M32" s="57">
        <f t="shared" si="6"/>
        <v>286.39000000000004</v>
      </c>
      <c r="N32" s="58">
        <f t="shared" si="1"/>
        <v>132.4653098982424</v>
      </c>
      <c r="O32" s="55">
        <v>158.37</v>
      </c>
      <c r="P32" s="56">
        <v>147.74</v>
      </c>
      <c r="Q32" s="55">
        <v>144.82</v>
      </c>
      <c r="R32" s="57">
        <f t="shared" si="2"/>
        <v>150.31</v>
      </c>
      <c r="S32" s="58">
        <f t="shared" si="0"/>
        <v>69.52358926919518</v>
      </c>
    </row>
    <row r="33" spans="1:19" ht="15">
      <c r="A33" s="6">
        <v>29</v>
      </c>
      <c r="B33" s="38" t="s">
        <v>48</v>
      </c>
      <c r="C33" s="6">
        <v>78</v>
      </c>
      <c r="D33" s="38" t="s">
        <v>38</v>
      </c>
      <c r="E33" s="54">
        <v>75</v>
      </c>
      <c r="F33" s="54">
        <v>1991</v>
      </c>
      <c r="G33" s="54">
        <v>4688.5</v>
      </c>
      <c r="H33" s="54">
        <v>3492.26</v>
      </c>
      <c r="I33" s="54"/>
      <c r="J33" s="55">
        <v>438.53</v>
      </c>
      <c r="K33" s="56">
        <v>450.64</v>
      </c>
      <c r="L33" s="55">
        <v>397.51</v>
      </c>
      <c r="M33" s="57">
        <f t="shared" si="6"/>
        <v>428.89333333333326</v>
      </c>
      <c r="N33" s="58">
        <f t="shared" si="1"/>
        <v>122.81254354868574</v>
      </c>
      <c r="O33" s="55">
        <v>220.47</v>
      </c>
      <c r="P33" s="56">
        <v>200.08</v>
      </c>
      <c r="Q33" s="55">
        <v>196.01</v>
      </c>
      <c r="R33" s="57">
        <f t="shared" si="2"/>
        <v>205.51999999999998</v>
      </c>
      <c r="S33" s="58">
        <f t="shared" si="0"/>
        <v>58.850142887413874</v>
      </c>
    </row>
    <row r="34" spans="1:19" ht="15">
      <c r="A34" s="6">
        <v>30</v>
      </c>
      <c r="B34" s="38" t="s">
        <v>48</v>
      </c>
      <c r="C34" s="6">
        <v>80</v>
      </c>
      <c r="D34" s="38" t="s">
        <v>38</v>
      </c>
      <c r="E34" s="54">
        <v>69</v>
      </c>
      <c r="F34" s="54">
        <v>1992</v>
      </c>
      <c r="G34" s="54">
        <v>4913.5</v>
      </c>
      <c r="H34" s="54">
        <f>1501.3+2218.6</f>
        <v>3719.8999999999996</v>
      </c>
      <c r="I34" s="54"/>
      <c r="J34" s="55">
        <f>260.03+186</f>
        <v>446.03</v>
      </c>
      <c r="K34" s="56">
        <f>180.2+249.07</f>
        <v>429.27</v>
      </c>
      <c r="L34" s="55">
        <v>399.48</v>
      </c>
      <c r="M34" s="57">
        <f t="shared" si="6"/>
        <v>424.9266666666667</v>
      </c>
      <c r="N34" s="58">
        <f t="shared" si="1"/>
        <v>114.23066928322447</v>
      </c>
      <c r="O34" s="55">
        <f>123.11+86.1</f>
        <v>209.20999999999998</v>
      </c>
      <c r="P34" s="56">
        <f>82.2+128.03</f>
        <v>210.23000000000002</v>
      </c>
      <c r="Q34" s="55">
        <v>233.22</v>
      </c>
      <c r="R34" s="57">
        <f t="shared" si="2"/>
        <v>217.5533333333333</v>
      </c>
      <c r="S34" s="58">
        <f t="shared" si="0"/>
        <v>58.48365099420235</v>
      </c>
    </row>
    <row r="35" spans="1:19" ht="15">
      <c r="A35" s="6">
        <v>31</v>
      </c>
      <c r="B35" s="38" t="s">
        <v>48</v>
      </c>
      <c r="C35" s="6">
        <v>98</v>
      </c>
      <c r="D35" s="38" t="s">
        <v>38</v>
      </c>
      <c r="E35" s="54">
        <v>74</v>
      </c>
      <c r="F35" s="54">
        <v>1991</v>
      </c>
      <c r="G35" s="54">
        <v>4134.1</v>
      </c>
      <c r="H35" s="54">
        <v>2682.05</v>
      </c>
      <c r="I35" s="54"/>
      <c r="J35" s="55">
        <v>321.5</v>
      </c>
      <c r="K35" s="56">
        <v>307.68</v>
      </c>
      <c r="L35" s="55">
        <v>282.09</v>
      </c>
      <c r="M35" s="57">
        <f t="shared" si="6"/>
        <v>303.75666666666666</v>
      </c>
      <c r="N35" s="58">
        <f t="shared" si="1"/>
        <v>113.25540786587374</v>
      </c>
      <c r="O35" s="55">
        <v>186.4</v>
      </c>
      <c r="P35" s="56">
        <v>167.32</v>
      </c>
      <c r="Q35" s="55">
        <v>151.01</v>
      </c>
      <c r="R35" s="57">
        <f t="shared" si="2"/>
        <v>168.24333333333334</v>
      </c>
      <c r="S35" s="58">
        <f t="shared" si="0"/>
        <v>62.729379889760935</v>
      </c>
    </row>
    <row r="36" spans="1:19" ht="15">
      <c r="A36" s="6">
        <v>32</v>
      </c>
      <c r="B36" s="38" t="s">
        <v>48</v>
      </c>
      <c r="C36" s="6">
        <v>66</v>
      </c>
      <c r="D36" s="38"/>
      <c r="E36" s="54"/>
      <c r="F36" s="54"/>
      <c r="G36" s="62">
        <v>2190.7</v>
      </c>
      <c r="H36" s="62">
        <v>1962.41</v>
      </c>
      <c r="I36" s="54"/>
      <c r="J36" s="60">
        <v>280.38</v>
      </c>
      <c r="K36" s="55">
        <v>283.62</v>
      </c>
      <c r="L36" s="60">
        <v>254.84792341142256</v>
      </c>
      <c r="M36" s="57">
        <f>(L36+K36+J36)/3</f>
        <v>272.9493078038075</v>
      </c>
      <c r="N36" s="58">
        <f t="shared" si="1"/>
        <v>139.0888284322886</v>
      </c>
      <c r="O36" s="60">
        <v>112.82</v>
      </c>
      <c r="P36" s="55">
        <v>108.25</v>
      </c>
      <c r="Q36" s="60">
        <v>105.35207658857726</v>
      </c>
      <c r="R36" s="57">
        <f t="shared" si="2"/>
        <v>108.80735886285909</v>
      </c>
      <c r="S36" s="58">
        <f t="shared" si="0"/>
        <v>55.44578292143797</v>
      </c>
    </row>
    <row r="37" spans="1:19" ht="26.25">
      <c r="A37" s="6">
        <v>33</v>
      </c>
      <c r="B37" s="38" t="s">
        <v>48</v>
      </c>
      <c r="C37" s="13">
        <v>74</v>
      </c>
      <c r="D37" s="40" t="s">
        <v>43</v>
      </c>
      <c r="E37" s="63">
        <v>50</v>
      </c>
      <c r="F37" s="54"/>
      <c r="G37" s="62">
        <v>2899.4</v>
      </c>
      <c r="H37" s="62">
        <v>2524.97</v>
      </c>
      <c r="I37" s="54"/>
      <c r="J37" s="60">
        <v>326.6</v>
      </c>
      <c r="K37" s="55">
        <v>332.18</v>
      </c>
      <c r="L37" s="60">
        <v>308.53805075442637</v>
      </c>
      <c r="M37" s="57">
        <f>(L37+K37+J37)/3</f>
        <v>322.43935025147545</v>
      </c>
      <c r="N37" s="58">
        <f t="shared" si="1"/>
        <v>127.70026980577015</v>
      </c>
      <c r="O37" s="60">
        <v>151.4</v>
      </c>
      <c r="P37" s="55">
        <v>150.22</v>
      </c>
      <c r="Q37" s="60">
        <v>147.37194924557377</v>
      </c>
      <c r="R37" s="57">
        <f t="shared" si="2"/>
        <v>149.66398308185794</v>
      </c>
      <c r="S37" s="58">
        <f t="shared" si="0"/>
        <v>59.273568827296145</v>
      </c>
    </row>
    <row r="38" spans="1:19" ht="15">
      <c r="A38" s="6">
        <v>34</v>
      </c>
      <c r="B38" s="38" t="s">
        <v>48</v>
      </c>
      <c r="C38" s="13">
        <v>86</v>
      </c>
      <c r="D38" s="40"/>
      <c r="E38" s="63"/>
      <c r="F38" s="54"/>
      <c r="G38" s="64">
        <v>2700</v>
      </c>
      <c r="H38" s="61">
        <v>2700</v>
      </c>
      <c r="I38" s="54"/>
      <c r="J38" s="60">
        <v>0</v>
      </c>
      <c r="K38" s="55">
        <v>295.94</v>
      </c>
      <c r="L38" s="60">
        <v>219.9352</v>
      </c>
      <c r="M38" s="57">
        <f>(L38+K38+J38)/2</f>
        <v>257.9376</v>
      </c>
      <c r="N38" s="58">
        <f t="shared" si="1"/>
        <v>95.53244444444444</v>
      </c>
      <c r="O38" s="60">
        <v>0</v>
      </c>
      <c r="P38" s="55">
        <v>24.07</v>
      </c>
      <c r="Q38" s="60">
        <v>93.7528</v>
      </c>
      <c r="R38" s="57">
        <f t="shared" si="2"/>
        <v>39.27426666666667</v>
      </c>
      <c r="S38" s="58">
        <f t="shared" si="0"/>
        <v>14.546024691358026</v>
      </c>
    </row>
    <row r="39" spans="1:19" ht="26.25">
      <c r="A39" s="6">
        <v>35</v>
      </c>
      <c r="B39" s="50" t="s">
        <v>48</v>
      </c>
      <c r="C39" s="13">
        <v>88</v>
      </c>
      <c r="D39" s="40" t="s">
        <v>43</v>
      </c>
      <c r="E39" s="63">
        <v>120</v>
      </c>
      <c r="F39" s="65"/>
      <c r="G39" s="62">
        <v>5929.4</v>
      </c>
      <c r="H39" s="66">
        <v>5755.24</v>
      </c>
      <c r="I39" s="54"/>
      <c r="J39" s="61">
        <v>850.07</v>
      </c>
      <c r="K39" s="55">
        <v>797.43</v>
      </c>
      <c r="L39" s="61">
        <v>689.66</v>
      </c>
      <c r="M39" s="57">
        <f>(L39+K39+J39)/3</f>
        <v>779.0533333333333</v>
      </c>
      <c r="N39" s="58">
        <f t="shared" si="1"/>
        <v>135.36417826768883</v>
      </c>
      <c r="O39" s="61">
        <v>314.43</v>
      </c>
      <c r="P39" s="55">
        <v>325.94</v>
      </c>
      <c r="Q39" s="61">
        <v>354.71</v>
      </c>
      <c r="R39" s="57">
        <f t="shared" si="2"/>
        <v>331.6933333333333</v>
      </c>
      <c r="S39" s="58">
        <f t="shared" si="0"/>
        <v>57.63327564677291</v>
      </c>
    </row>
    <row r="40" spans="1:19" ht="15">
      <c r="A40" s="6">
        <v>36</v>
      </c>
      <c r="B40" s="38" t="s">
        <v>49</v>
      </c>
      <c r="C40" s="6">
        <v>4</v>
      </c>
      <c r="D40" s="38" t="s">
        <v>38</v>
      </c>
      <c r="E40" s="54"/>
      <c r="F40" s="54"/>
      <c r="G40" s="59">
        <v>164.6</v>
      </c>
      <c r="H40" s="54">
        <v>164.52</v>
      </c>
      <c r="I40" s="54"/>
      <c r="J40" s="55">
        <v>29.9</v>
      </c>
      <c r="K40" s="56">
        <v>29.45</v>
      </c>
      <c r="L40" s="55">
        <v>27.63</v>
      </c>
      <c r="M40" s="57">
        <f>(L40+K40+J40)/3</f>
        <v>28.99333333333333</v>
      </c>
      <c r="N40" s="58">
        <f t="shared" si="1"/>
        <v>176.22984034362588</v>
      </c>
      <c r="O40" s="56"/>
      <c r="P40" s="56">
        <v>0</v>
      </c>
      <c r="Q40" s="56"/>
      <c r="R40" s="57">
        <f t="shared" si="2"/>
        <v>0</v>
      </c>
      <c r="S40" s="58">
        <f t="shared" si="0"/>
        <v>0</v>
      </c>
    </row>
    <row r="41" spans="1:19" ht="15">
      <c r="A41" s="6">
        <v>37</v>
      </c>
      <c r="B41" s="38" t="s">
        <v>50</v>
      </c>
      <c r="C41" s="6">
        <v>3</v>
      </c>
      <c r="D41" s="38" t="s">
        <v>38</v>
      </c>
      <c r="E41" s="54">
        <v>45</v>
      </c>
      <c r="F41" s="54"/>
      <c r="G41" s="54"/>
      <c r="H41" s="54">
        <v>2174.5</v>
      </c>
      <c r="I41" s="54"/>
      <c r="J41" s="55">
        <v>256.88</v>
      </c>
      <c r="K41" s="56">
        <v>266.17</v>
      </c>
      <c r="L41" s="55">
        <v>250.42</v>
      </c>
      <c r="M41" s="57">
        <f>(L41+K41+J41)/3</f>
        <v>257.8233333333333</v>
      </c>
      <c r="N41" s="58">
        <f t="shared" si="1"/>
        <v>118.56672031884725</v>
      </c>
      <c r="O41" s="55">
        <v>137.46</v>
      </c>
      <c r="P41" s="56">
        <v>139.09</v>
      </c>
      <c r="Q41" s="55">
        <v>133.78</v>
      </c>
      <c r="R41" s="57">
        <f t="shared" si="2"/>
        <v>136.77666666666667</v>
      </c>
      <c r="S41" s="58">
        <f t="shared" si="0"/>
        <v>62.900283590097345</v>
      </c>
    </row>
    <row r="42" spans="1:19" ht="15">
      <c r="A42" s="6">
        <v>38</v>
      </c>
      <c r="B42" s="38" t="s">
        <v>50</v>
      </c>
      <c r="C42" s="6">
        <v>8</v>
      </c>
      <c r="D42" s="38" t="s">
        <v>38</v>
      </c>
      <c r="E42" s="54">
        <v>54</v>
      </c>
      <c r="F42" s="54">
        <v>1966</v>
      </c>
      <c r="G42" s="54">
        <v>2785.3</v>
      </c>
      <c r="H42" s="54">
        <v>2137.24</v>
      </c>
      <c r="I42" s="54"/>
      <c r="J42" s="55">
        <v>287.47</v>
      </c>
      <c r="K42" s="56">
        <v>250.83</v>
      </c>
      <c r="L42" s="55">
        <v>247.56</v>
      </c>
      <c r="M42" s="57">
        <f>(L42+K42+J42)/3</f>
        <v>261.9533333333333</v>
      </c>
      <c r="N42" s="58">
        <f t="shared" si="1"/>
        <v>122.56617569076629</v>
      </c>
      <c r="O42" s="55">
        <v>76.05</v>
      </c>
      <c r="P42" s="56">
        <v>72.07</v>
      </c>
      <c r="Q42" s="55">
        <v>74.24</v>
      </c>
      <c r="R42" s="57">
        <f t="shared" si="2"/>
        <v>74.12</v>
      </c>
      <c r="S42" s="58">
        <f t="shared" si="0"/>
        <v>34.68024180719058</v>
      </c>
    </row>
    <row r="43" spans="1:19" ht="15">
      <c r="A43" s="6">
        <v>39</v>
      </c>
      <c r="B43" s="38" t="s">
        <v>50</v>
      </c>
      <c r="C43" s="6">
        <v>10</v>
      </c>
      <c r="D43" s="38" t="s">
        <v>38</v>
      </c>
      <c r="E43" s="54">
        <v>58</v>
      </c>
      <c r="F43" s="54">
        <v>1965</v>
      </c>
      <c r="G43" s="54">
        <v>3117.6</v>
      </c>
      <c r="H43" s="54">
        <v>2337.82</v>
      </c>
      <c r="I43" s="54"/>
      <c r="J43" s="55">
        <v>318.21</v>
      </c>
      <c r="K43" s="56">
        <v>289.18</v>
      </c>
      <c r="L43" s="55">
        <v>274.99</v>
      </c>
      <c r="M43" s="57">
        <f>(L43+K43+J43)/3</f>
        <v>294.1266666666667</v>
      </c>
      <c r="N43" s="58">
        <f t="shared" si="1"/>
        <v>125.81236650668859</v>
      </c>
      <c r="O43" s="55">
        <v>92.55</v>
      </c>
      <c r="P43" s="56">
        <v>99.76</v>
      </c>
      <c r="Q43" s="55">
        <v>93.21</v>
      </c>
      <c r="R43" s="57">
        <f t="shared" si="2"/>
        <v>95.17333333333333</v>
      </c>
      <c r="S43" s="58">
        <f t="shared" si="0"/>
        <v>40.71029135405349</v>
      </c>
    </row>
    <row r="44" spans="1:19" ht="15" customHeight="1">
      <c r="A44" s="6">
        <v>40</v>
      </c>
      <c r="B44" s="38" t="s">
        <v>51</v>
      </c>
      <c r="C44" s="6">
        <v>17</v>
      </c>
      <c r="D44" s="38" t="s">
        <v>38</v>
      </c>
      <c r="E44" s="54"/>
      <c r="F44" s="54"/>
      <c r="G44" s="54"/>
      <c r="H44" s="54">
        <v>105.23</v>
      </c>
      <c r="I44" s="54"/>
      <c r="J44" s="54"/>
      <c r="K44" s="54">
        <v>0</v>
      </c>
      <c r="L44" s="54"/>
      <c r="M44" s="57">
        <v>0</v>
      </c>
      <c r="N44" s="58">
        <f t="shared" si="1"/>
        <v>0</v>
      </c>
      <c r="O44" s="54"/>
      <c r="P44" s="54">
        <v>0</v>
      </c>
      <c r="Q44" s="54"/>
      <c r="R44" s="57">
        <f t="shared" si="2"/>
        <v>0</v>
      </c>
      <c r="S44" s="58">
        <f t="shared" si="0"/>
        <v>0</v>
      </c>
    </row>
    <row r="45" spans="1:19" ht="15">
      <c r="A45" s="6">
        <v>41</v>
      </c>
      <c r="B45" s="38" t="s">
        <v>51</v>
      </c>
      <c r="C45" s="6">
        <v>28</v>
      </c>
      <c r="D45" s="38" t="s">
        <v>38</v>
      </c>
      <c r="E45" s="54">
        <v>72</v>
      </c>
      <c r="F45" s="54"/>
      <c r="G45" s="59">
        <f>2109+2103</f>
        <v>4212</v>
      </c>
      <c r="H45" s="54">
        <f>2084.09+2078.59</f>
        <v>4162.68</v>
      </c>
      <c r="I45" s="54"/>
      <c r="J45" s="55">
        <f>280.22+297.22</f>
        <v>577.44</v>
      </c>
      <c r="K45" s="56">
        <f>260.74+243.48</f>
        <v>504.22</v>
      </c>
      <c r="L45" s="55">
        <v>417.55</v>
      </c>
      <c r="M45" s="57">
        <f aca="true" t="shared" si="7" ref="M45:M51">(L45+K45+J45)/3</f>
        <v>499.7366666666667</v>
      </c>
      <c r="N45" s="58">
        <f t="shared" si="1"/>
        <v>120.05166543348675</v>
      </c>
      <c r="O45" s="55">
        <f>112.22+109.41</f>
        <v>221.63</v>
      </c>
      <c r="P45" s="56">
        <f>105.73+107.47</f>
        <v>213.2</v>
      </c>
      <c r="Q45" s="55">
        <v>222.35</v>
      </c>
      <c r="R45" s="57">
        <f t="shared" si="2"/>
        <v>219.05999999999997</v>
      </c>
      <c r="S45" s="58">
        <f t="shared" si="0"/>
        <v>52.62475136210325</v>
      </c>
    </row>
    <row r="46" spans="1:19" ht="15">
      <c r="A46" s="6">
        <v>42</v>
      </c>
      <c r="B46" s="38" t="s">
        <v>51</v>
      </c>
      <c r="C46" s="6">
        <v>41</v>
      </c>
      <c r="D46" s="38" t="s">
        <v>38</v>
      </c>
      <c r="E46" s="54">
        <v>74</v>
      </c>
      <c r="F46" s="54">
        <v>1982</v>
      </c>
      <c r="G46" s="54">
        <v>4158.7</v>
      </c>
      <c r="H46" s="54">
        <v>2637.84</v>
      </c>
      <c r="I46" s="54"/>
      <c r="J46" s="55">
        <v>355.2</v>
      </c>
      <c r="K46" s="56">
        <v>337.63</v>
      </c>
      <c r="L46" s="55">
        <v>308.14</v>
      </c>
      <c r="M46" s="57">
        <f t="shared" si="7"/>
        <v>333.6566666666667</v>
      </c>
      <c r="N46" s="58">
        <f t="shared" si="1"/>
        <v>126.48859167601775</v>
      </c>
      <c r="O46" s="55">
        <v>159.58</v>
      </c>
      <c r="P46" s="56">
        <v>153.39</v>
      </c>
      <c r="Q46" s="55">
        <v>130.65</v>
      </c>
      <c r="R46" s="57">
        <f t="shared" si="2"/>
        <v>147.87333333333333</v>
      </c>
      <c r="S46" s="58">
        <f t="shared" si="0"/>
        <v>56.05849230178226</v>
      </c>
    </row>
    <row r="47" spans="1:19" ht="15">
      <c r="A47" s="6">
        <v>43</v>
      </c>
      <c r="B47" s="38" t="s">
        <v>51</v>
      </c>
      <c r="C47" s="6">
        <v>39</v>
      </c>
      <c r="D47" s="38"/>
      <c r="E47" s="54"/>
      <c r="F47" s="54"/>
      <c r="G47" s="64">
        <v>3649.9</v>
      </c>
      <c r="H47" s="64">
        <v>3649.9</v>
      </c>
      <c r="I47" s="54"/>
      <c r="J47" s="60">
        <v>498.17</v>
      </c>
      <c r="K47" s="55">
        <v>472.48</v>
      </c>
      <c r="L47" s="60">
        <v>461.03740000000005</v>
      </c>
      <c r="M47" s="57">
        <f t="shared" si="7"/>
        <v>477.2291333333333</v>
      </c>
      <c r="N47" s="58">
        <f t="shared" si="1"/>
        <v>130.7512899896801</v>
      </c>
      <c r="O47" s="60">
        <v>248.38</v>
      </c>
      <c r="P47" s="55">
        <v>228.51</v>
      </c>
      <c r="Q47" s="60">
        <v>183.99266000000003</v>
      </c>
      <c r="R47" s="57">
        <f t="shared" si="2"/>
        <v>220.29422</v>
      </c>
      <c r="S47" s="58">
        <f t="shared" si="0"/>
        <v>60.356234417381295</v>
      </c>
    </row>
    <row r="48" spans="1:19" ht="15">
      <c r="A48" s="6">
        <v>44</v>
      </c>
      <c r="B48" s="38" t="s">
        <v>52</v>
      </c>
      <c r="C48" s="6">
        <v>18</v>
      </c>
      <c r="D48" s="38" t="s">
        <v>38</v>
      </c>
      <c r="E48" s="54"/>
      <c r="F48" s="54"/>
      <c r="G48" s="59">
        <v>110.9</v>
      </c>
      <c r="H48" s="59">
        <v>73.55</v>
      </c>
      <c r="I48" s="54"/>
      <c r="J48" s="55">
        <v>12.03</v>
      </c>
      <c r="K48" s="56">
        <v>10.87</v>
      </c>
      <c r="L48" s="55">
        <v>6.13</v>
      </c>
      <c r="M48" s="57">
        <f t="shared" si="7"/>
        <v>9.676666666666668</v>
      </c>
      <c r="N48" s="58">
        <f t="shared" si="1"/>
        <v>131.56582823476094</v>
      </c>
      <c r="O48" s="55">
        <v>0</v>
      </c>
      <c r="P48" s="56">
        <v>0</v>
      </c>
      <c r="Q48" s="56">
        <v>0</v>
      </c>
      <c r="R48" s="57">
        <f t="shared" si="2"/>
        <v>0</v>
      </c>
      <c r="S48" s="58">
        <f t="shared" si="0"/>
        <v>0</v>
      </c>
    </row>
    <row r="49" spans="1:19" ht="15">
      <c r="A49" s="6">
        <v>45</v>
      </c>
      <c r="B49" s="38" t="s">
        <v>53</v>
      </c>
      <c r="C49" s="6">
        <v>9</v>
      </c>
      <c r="D49" s="38" t="s">
        <v>38</v>
      </c>
      <c r="E49" s="54"/>
      <c r="F49" s="54">
        <v>1963</v>
      </c>
      <c r="G49" s="54">
        <v>5557.2</v>
      </c>
      <c r="H49" s="54">
        <f>2106.46+2058.4</f>
        <v>4164.860000000001</v>
      </c>
      <c r="I49" s="54"/>
      <c r="J49" s="55">
        <f>290.94+314.52</f>
        <v>605.46</v>
      </c>
      <c r="K49" s="56">
        <f>317.54+272.29</f>
        <v>589.83</v>
      </c>
      <c r="L49" s="55">
        <v>557.96</v>
      </c>
      <c r="M49" s="57">
        <f t="shared" si="7"/>
        <v>584.4166666666666</v>
      </c>
      <c r="N49" s="58">
        <f t="shared" si="1"/>
        <v>140.32084311757575</v>
      </c>
      <c r="O49" s="55">
        <f>77.26+103.01</f>
        <v>180.27</v>
      </c>
      <c r="P49" s="56">
        <f>101.08+75.51</f>
        <v>176.59</v>
      </c>
      <c r="Q49" s="55">
        <v>171.51</v>
      </c>
      <c r="R49" s="57">
        <f t="shared" si="2"/>
        <v>176.12333333333333</v>
      </c>
      <c r="S49" s="58">
        <f t="shared" si="0"/>
        <v>42.28793604907087</v>
      </c>
    </row>
    <row r="50" spans="1:19" ht="15">
      <c r="A50" s="6">
        <v>46</v>
      </c>
      <c r="B50" s="38" t="s">
        <v>53</v>
      </c>
      <c r="C50" s="6">
        <v>11</v>
      </c>
      <c r="D50" s="38" t="s">
        <v>38</v>
      </c>
      <c r="E50" s="54"/>
      <c r="F50" s="54">
        <v>1963</v>
      </c>
      <c r="G50" s="54">
        <v>2779.1</v>
      </c>
      <c r="H50" s="54">
        <f>2043.22+40.5</f>
        <v>2083.7200000000003</v>
      </c>
      <c r="I50" s="54"/>
      <c r="J50" s="55">
        <f>7.12+312.43</f>
        <v>319.55</v>
      </c>
      <c r="K50" s="56">
        <f>317.76+6.21</f>
        <v>323.96999999999997</v>
      </c>
      <c r="L50" s="55">
        <v>243.85</v>
      </c>
      <c r="M50" s="57">
        <f t="shared" si="7"/>
        <v>295.78999999999996</v>
      </c>
      <c r="N50" s="58">
        <f t="shared" si="1"/>
        <v>141.952853550381</v>
      </c>
      <c r="O50" s="55">
        <f>0.07+75.17</f>
        <v>75.24</v>
      </c>
      <c r="P50" s="56">
        <f>0.02+75.91</f>
        <v>75.92999999999999</v>
      </c>
      <c r="Q50" s="55">
        <v>78.07</v>
      </c>
      <c r="R50" s="57">
        <f t="shared" si="2"/>
        <v>76.41333333333333</v>
      </c>
      <c r="S50" s="58">
        <f t="shared" si="0"/>
        <v>36.671593752199584</v>
      </c>
    </row>
    <row r="51" spans="1:19" ht="15">
      <c r="A51" s="6">
        <v>47</v>
      </c>
      <c r="B51" s="38" t="s">
        <v>53</v>
      </c>
      <c r="C51" s="6">
        <v>13</v>
      </c>
      <c r="D51" s="38" t="s">
        <v>38</v>
      </c>
      <c r="E51" s="54"/>
      <c r="F51" s="54">
        <v>1964</v>
      </c>
      <c r="G51" s="54">
        <v>5609.3</v>
      </c>
      <c r="H51" s="54">
        <f>2140.67+2109.76</f>
        <v>4250.43</v>
      </c>
      <c r="I51" s="54"/>
      <c r="J51" s="55">
        <f>306.54+286.56</f>
        <v>593.1</v>
      </c>
      <c r="K51" s="56">
        <f>253.95+284.94</f>
        <v>538.89</v>
      </c>
      <c r="L51" s="55">
        <v>463.71</v>
      </c>
      <c r="M51" s="57">
        <f t="shared" si="7"/>
        <v>531.9</v>
      </c>
      <c r="N51" s="58">
        <f t="shared" si="1"/>
        <v>125.14027992461938</v>
      </c>
      <c r="O51" s="55">
        <f>80.76+99.84</f>
        <v>180.60000000000002</v>
      </c>
      <c r="P51" s="56">
        <f>90.05+77.36</f>
        <v>167.41</v>
      </c>
      <c r="Q51" s="55">
        <v>156.17</v>
      </c>
      <c r="R51" s="57">
        <f t="shared" si="2"/>
        <v>168.05999999999997</v>
      </c>
      <c r="S51" s="58">
        <f t="shared" si="0"/>
        <v>39.53952894177765</v>
      </c>
    </row>
    <row r="52" spans="1:19" ht="15" customHeight="1">
      <c r="A52" s="6">
        <v>48</v>
      </c>
      <c r="B52" s="38" t="s">
        <v>10</v>
      </c>
      <c r="C52" s="6">
        <v>94</v>
      </c>
      <c r="D52" s="38" t="s">
        <v>8</v>
      </c>
      <c r="E52" s="54">
        <v>10</v>
      </c>
      <c r="F52" s="54"/>
      <c r="G52" s="54">
        <v>266.5</v>
      </c>
      <c r="H52" s="54">
        <v>187.5</v>
      </c>
      <c r="I52" s="86">
        <v>13</v>
      </c>
      <c r="J52" s="54"/>
      <c r="K52" s="54"/>
      <c r="L52" s="54"/>
      <c r="M52" s="57">
        <f aca="true" t="shared" si="8" ref="M52:M62">(L52+K52+J52)/3</f>
        <v>0</v>
      </c>
      <c r="N52" s="58">
        <f t="shared" si="1"/>
        <v>0</v>
      </c>
      <c r="O52" s="54"/>
      <c r="P52" s="54"/>
      <c r="Q52" s="54"/>
      <c r="R52" s="57">
        <f t="shared" si="2"/>
        <v>0</v>
      </c>
      <c r="S52" s="58">
        <f t="shared" si="0"/>
        <v>0</v>
      </c>
    </row>
    <row r="53" spans="1:19" ht="14.25" customHeight="1">
      <c r="A53" s="6">
        <v>49</v>
      </c>
      <c r="B53" s="38" t="s">
        <v>10</v>
      </c>
      <c r="C53" s="6">
        <v>2</v>
      </c>
      <c r="D53" s="38" t="s">
        <v>38</v>
      </c>
      <c r="E53" s="54">
        <v>72</v>
      </c>
      <c r="F53" s="54"/>
      <c r="G53" s="54">
        <v>5029.1</v>
      </c>
      <c r="H53" s="54">
        <f>1786.73+1776.32</f>
        <v>3563.05</v>
      </c>
      <c r="I53" s="54"/>
      <c r="J53" s="55">
        <f>292.83+208.86</f>
        <v>501.69</v>
      </c>
      <c r="K53" s="56">
        <f>205.24+280.26</f>
        <v>485.5</v>
      </c>
      <c r="L53" s="55">
        <v>426.41</v>
      </c>
      <c r="M53" s="57">
        <f t="shared" si="8"/>
        <v>471.20000000000005</v>
      </c>
      <c r="N53" s="58">
        <f t="shared" si="1"/>
        <v>132.24624970180042</v>
      </c>
      <c r="O53" s="55">
        <f>110.57+88.64</f>
        <v>199.20999999999998</v>
      </c>
      <c r="P53" s="56">
        <f>95.36+111.96</f>
        <v>207.32</v>
      </c>
      <c r="Q53" s="55">
        <v>212.89</v>
      </c>
      <c r="R53" s="57">
        <f t="shared" si="2"/>
        <v>206.47333333333333</v>
      </c>
      <c r="S53" s="58">
        <f t="shared" si="0"/>
        <v>57.948480468512464</v>
      </c>
    </row>
    <row r="54" spans="1:19" ht="14.25" customHeight="1">
      <c r="A54" s="6">
        <v>50</v>
      </c>
      <c r="B54" s="38" t="s">
        <v>10</v>
      </c>
      <c r="C54" s="6">
        <v>4</v>
      </c>
      <c r="D54" s="38" t="s">
        <v>38</v>
      </c>
      <c r="E54" s="54">
        <v>84</v>
      </c>
      <c r="F54" s="54">
        <v>1975</v>
      </c>
      <c r="G54" s="54">
        <v>3780.7</v>
      </c>
      <c r="H54" s="54">
        <f>14.2+2006.22+166.18+1984.65</f>
        <v>4171.25</v>
      </c>
      <c r="I54" s="54"/>
      <c r="J54" s="55">
        <f>270.02+21.88+278.79+1.98</f>
        <v>572.6700000000001</v>
      </c>
      <c r="K54" s="56">
        <f>1.82+258.11+21.51+256.79</f>
        <v>538.23</v>
      </c>
      <c r="L54" s="55">
        <v>226.04</v>
      </c>
      <c r="M54" s="57">
        <f t="shared" si="8"/>
        <v>445.6466666666667</v>
      </c>
      <c r="N54" s="58">
        <f t="shared" si="1"/>
        <v>106.83767855359105</v>
      </c>
      <c r="O54" s="55">
        <f>109.93+4.29+116.31</f>
        <v>230.53000000000003</v>
      </c>
      <c r="P54" s="56">
        <f>119.02+5.32+101.5</f>
        <v>225.84</v>
      </c>
      <c r="Q54" s="55">
        <v>128.15</v>
      </c>
      <c r="R54" s="57">
        <f t="shared" si="2"/>
        <v>194.84</v>
      </c>
      <c r="S54" s="58">
        <f t="shared" si="0"/>
        <v>46.7102187593647</v>
      </c>
    </row>
    <row r="55" spans="1:19" ht="15">
      <c r="A55" s="6">
        <v>51</v>
      </c>
      <c r="B55" s="38" t="s">
        <v>54</v>
      </c>
      <c r="C55" s="6">
        <v>8</v>
      </c>
      <c r="D55" s="38" t="s">
        <v>38</v>
      </c>
      <c r="E55" s="54">
        <v>12</v>
      </c>
      <c r="F55" s="54">
        <v>1961</v>
      </c>
      <c r="G55" s="54">
        <v>653.3</v>
      </c>
      <c r="H55" s="54">
        <v>465.25</v>
      </c>
      <c r="I55" s="54"/>
      <c r="J55" s="55">
        <v>72.84</v>
      </c>
      <c r="K55" s="56">
        <v>70.62</v>
      </c>
      <c r="L55" s="55">
        <v>62.54</v>
      </c>
      <c r="M55" s="57">
        <f t="shared" si="8"/>
        <v>68.66666666666667</v>
      </c>
      <c r="N55" s="58">
        <f t="shared" si="1"/>
        <v>147.5909009493104</v>
      </c>
      <c r="O55" s="55">
        <v>8.8</v>
      </c>
      <c r="P55" s="56">
        <v>7.56</v>
      </c>
      <c r="Q55" s="55">
        <v>11.34</v>
      </c>
      <c r="R55" s="57">
        <f t="shared" si="2"/>
        <v>9.233333333333333</v>
      </c>
      <c r="S55" s="58">
        <f t="shared" si="0"/>
        <v>19.845960952892707</v>
      </c>
    </row>
    <row r="56" spans="1:19" ht="15">
      <c r="A56" s="6">
        <v>52</v>
      </c>
      <c r="B56" s="38" t="s">
        <v>54</v>
      </c>
      <c r="C56" s="6">
        <v>10</v>
      </c>
      <c r="D56" s="38" t="s">
        <v>38</v>
      </c>
      <c r="E56" s="54">
        <v>12</v>
      </c>
      <c r="F56" s="54"/>
      <c r="G56" s="54"/>
      <c r="H56" s="54">
        <v>524.7</v>
      </c>
      <c r="I56" s="54"/>
      <c r="J56" s="55">
        <v>73.55</v>
      </c>
      <c r="K56" s="56">
        <v>69.89</v>
      </c>
      <c r="L56" s="55">
        <v>61.3</v>
      </c>
      <c r="M56" s="57">
        <f t="shared" si="8"/>
        <v>68.24666666666667</v>
      </c>
      <c r="N56" s="58">
        <f t="shared" si="1"/>
        <v>130.0679753509942</v>
      </c>
      <c r="O56" s="55">
        <v>14.75</v>
      </c>
      <c r="P56" s="56">
        <v>13.01</v>
      </c>
      <c r="Q56" s="55">
        <v>14.07</v>
      </c>
      <c r="R56" s="57">
        <f t="shared" si="2"/>
        <v>13.943333333333333</v>
      </c>
      <c r="S56" s="58">
        <f t="shared" si="0"/>
        <v>26.573915253160536</v>
      </c>
    </row>
    <row r="57" spans="1:19" ht="15">
      <c r="A57" s="6">
        <v>53</v>
      </c>
      <c r="B57" s="38" t="s">
        <v>54</v>
      </c>
      <c r="C57" s="6">
        <v>12</v>
      </c>
      <c r="D57" s="38" t="s">
        <v>38</v>
      </c>
      <c r="E57" s="54">
        <v>12</v>
      </c>
      <c r="F57" s="54"/>
      <c r="G57" s="54"/>
      <c r="H57" s="54">
        <v>525.3</v>
      </c>
      <c r="I57" s="54"/>
      <c r="J57" s="55">
        <v>71.34</v>
      </c>
      <c r="K57" s="56">
        <v>71.58</v>
      </c>
      <c r="L57" s="55">
        <v>64.64</v>
      </c>
      <c r="M57" s="57">
        <f t="shared" si="8"/>
        <v>69.18666666666667</v>
      </c>
      <c r="N57" s="58">
        <f t="shared" si="1"/>
        <v>131.70886477568374</v>
      </c>
      <c r="O57" s="55">
        <v>25.51</v>
      </c>
      <c r="P57" s="56">
        <v>23.29</v>
      </c>
      <c r="Q57" s="55">
        <v>18.96</v>
      </c>
      <c r="R57" s="57">
        <f t="shared" si="2"/>
        <v>22.586666666666662</v>
      </c>
      <c r="S57" s="58">
        <f t="shared" si="0"/>
        <v>42.997652135287765</v>
      </c>
    </row>
    <row r="58" spans="1:19" ht="15">
      <c r="A58" s="6">
        <v>54</v>
      </c>
      <c r="B58" s="38" t="s">
        <v>54</v>
      </c>
      <c r="C58" s="6">
        <v>14</v>
      </c>
      <c r="D58" s="38" t="s">
        <v>38</v>
      </c>
      <c r="E58" s="54">
        <v>12</v>
      </c>
      <c r="F58" s="54">
        <v>1960</v>
      </c>
      <c r="G58" s="54">
        <v>692.81</v>
      </c>
      <c r="H58" s="54">
        <v>516.81</v>
      </c>
      <c r="I58" s="54"/>
      <c r="J58" s="55">
        <v>83.66</v>
      </c>
      <c r="K58" s="56">
        <v>83.09</v>
      </c>
      <c r="L58" s="55">
        <v>92.64</v>
      </c>
      <c r="M58" s="57">
        <f t="shared" si="8"/>
        <v>86.46333333333332</v>
      </c>
      <c r="N58" s="58">
        <f t="shared" si="1"/>
        <v>167.30197429100312</v>
      </c>
      <c r="O58" s="55">
        <v>23.21</v>
      </c>
      <c r="P58" s="56">
        <v>26.14</v>
      </c>
      <c r="Q58" s="55">
        <v>23.19</v>
      </c>
      <c r="R58" s="57">
        <f t="shared" si="2"/>
        <v>24.180000000000003</v>
      </c>
      <c r="S58" s="58">
        <f t="shared" si="0"/>
        <v>46.78702037499276</v>
      </c>
    </row>
    <row r="59" spans="1:19" ht="15">
      <c r="A59" s="6">
        <v>55</v>
      </c>
      <c r="B59" s="38" t="s">
        <v>54</v>
      </c>
      <c r="C59" s="6">
        <v>17</v>
      </c>
      <c r="D59" s="38" t="s">
        <v>38</v>
      </c>
      <c r="E59" s="54">
        <v>45</v>
      </c>
      <c r="F59" s="54">
        <v>1968</v>
      </c>
      <c r="G59" s="59">
        <v>2486.9</v>
      </c>
      <c r="H59" s="54">
        <v>1857.52</v>
      </c>
      <c r="I59" s="54"/>
      <c r="J59" s="55">
        <v>292.58</v>
      </c>
      <c r="K59" s="56">
        <v>311.07</v>
      </c>
      <c r="L59" s="55">
        <v>268.93</v>
      </c>
      <c r="M59" s="57">
        <f t="shared" si="8"/>
        <v>290.85999999999996</v>
      </c>
      <c r="N59" s="58">
        <f t="shared" si="1"/>
        <v>156.58512425169042</v>
      </c>
      <c r="O59" s="55">
        <v>97.02</v>
      </c>
      <c r="P59" s="56">
        <v>91.64</v>
      </c>
      <c r="Q59" s="55">
        <v>94.88</v>
      </c>
      <c r="R59" s="57">
        <f t="shared" si="2"/>
        <v>94.51333333333332</v>
      </c>
      <c r="S59" s="58">
        <f t="shared" si="0"/>
        <v>50.88146202104598</v>
      </c>
    </row>
    <row r="60" spans="1:19" ht="15" customHeight="1">
      <c r="A60" s="6">
        <v>56</v>
      </c>
      <c r="B60" s="51" t="s">
        <v>109</v>
      </c>
      <c r="C60" s="6">
        <v>13</v>
      </c>
      <c r="D60" s="38"/>
      <c r="E60" s="54"/>
      <c r="F60" s="54"/>
      <c r="G60" s="67">
        <v>529.91</v>
      </c>
      <c r="H60" s="67">
        <v>529.91</v>
      </c>
      <c r="I60" s="54"/>
      <c r="J60" s="55">
        <v>56.8</v>
      </c>
      <c r="K60" s="56">
        <v>74.14</v>
      </c>
      <c r="L60" s="55">
        <v>56.381600000000006</v>
      </c>
      <c r="M60" s="57">
        <f>(L60+K60+J60)/3</f>
        <v>62.44053333333333</v>
      </c>
      <c r="N60" s="58">
        <f t="shared" si="1"/>
        <v>117.83233630868133</v>
      </c>
      <c r="O60" s="55"/>
      <c r="P60" s="56">
        <v>21.83</v>
      </c>
      <c r="Q60" s="55">
        <v>26.09162000000003</v>
      </c>
      <c r="R60" s="57">
        <f t="shared" si="2"/>
        <v>15.973873333333344</v>
      </c>
      <c r="S60" s="58">
        <f t="shared" si="0"/>
        <v>30.144502525586127</v>
      </c>
    </row>
    <row r="61" spans="1:19" ht="15">
      <c r="A61" s="6">
        <v>57</v>
      </c>
      <c r="B61" s="38" t="s">
        <v>55</v>
      </c>
      <c r="C61" s="6">
        <v>94</v>
      </c>
      <c r="D61" s="38" t="s">
        <v>38</v>
      </c>
      <c r="E61" s="68">
        <v>20</v>
      </c>
      <c r="F61" s="54">
        <v>1986</v>
      </c>
      <c r="G61" s="59">
        <f>272.2+730.3</f>
        <v>1002.5</v>
      </c>
      <c r="H61" s="54">
        <f>272.27+652.46</f>
        <v>924.73</v>
      </c>
      <c r="I61" s="54"/>
      <c r="J61" s="55">
        <f>131.84+50.38</f>
        <v>182.22</v>
      </c>
      <c r="K61" s="56">
        <f>43.96+130.8</f>
        <v>174.76000000000002</v>
      </c>
      <c r="L61" s="55">
        <v>159.48</v>
      </c>
      <c r="M61" s="57">
        <f t="shared" si="8"/>
        <v>172.15333333333334</v>
      </c>
      <c r="N61" s="58">
        <f t="shared" si="1"/>
        <v>186.1660520728573</v>
      </c>
      <c r="O61" s="55"/>
      <c r="P61" s="56">
        <f>22.29+46.3</f>
        <v>68.59</v>
      </c>
      <c r="Q61" s="55"/>
      <c r="R61" s="57">
        <f t="shared" si="2"/>
        <v>22.863333333333333</v>
      </c>
      <c r="S61" s="58">
        <f t="shared" si="0"/>
        <v>24.72433394972947</v>
      </c>
    </row>
    <row r="62" spans="1:19" ht="15">
      <c r="A62" s="6">
        <v>58</v>
      </c>
      <c r="B62" s="38" t="s">
        <v>55</v>
      </c>
      <c r="C62" s="6">
        <v>96</v>
      </c>
      <c r="D62" s="38" t="s">
        <v>38</v>
      </c>
      <c r="E62" s="54">
        <v>22</v>
      </c>
      <c r="F62" s="54"/>
      <c r="G62" s="59">
        <v>1394</v>
      </c>
      <c r="H62" s="54">
        <v>1181.16</v>
      </c>
      <c r="I62" s="54"/>
      <c r="J62" s="55">
        <v>209.98</v>
      </c>
      <c r="K62" s="56">
        <v>196.8</v>
      </c>
      <c r="L62" s="55">
        <v>155.23</v>
      </c>
      <c r="M62" s="57">
        <f t="shared" si="8"/>
        <v>187.33666666666667</v>
      </c>
      <c r="N62" s="58">
        <f t="shared" si="1"/>
        <v>158.60397123731474</v>
      </c>
      <c r="O62" s="56"/>
      <c r="P62" s="56">
        <v>112.5</v>
      </c>
      <c r="Q62" s="56"/>
      <c r="R62" s="57">
        <f t="shared" si="2"/>
        <v>37.5</v>
      </c>
      <c r="S62" s="58">
        <f t="shared" si="0"/>
        <v>31.748450675607025</v>
      </c>
    </row>
    <row r="63" spans="1:19" ht="15">
      <c r="A63" s="6">
        <v>59</v>
      </c>
      <c r="B63" s="38" t="s">
        <v>55</v>
      </c>
      <c r="C63" s="6">
        <v>98</v>
      </c>
      <c r="D63" s="38" t="s">
        <v>38</v>
      </c>
      <c r="E63" s="54">
        <v>16</v>
      </c>
      <c r="F63" s="54"/>
      <c r="G63" s="59">
        <v>877.7</v>
      </c>
      <c r="H63" s="54">
        <v>832.94</v>
      </c>
      <c r="I63" s="54"/>
      <c r="J63" s="55">
        <v>154.13</v>
      </c>
      <c r="K63" s="56">
        <v>134.46</v>
      </c>
      <c r="L63" s="55">
        <v>127.48</v>
      </c>
      <c r="M63" s="57">
        <f>(L63+K63+J63)/3</f>
        <v>138.69</v>
      </c>
      <c r="N63" s="58">
        <f t="shared" si="1"/>
        <v>166.50659111100438</v>
      </c>
      <c r="O63" s="56"/>
      <c r="P63" s="56">
        <v>49.94</v>
      </c>
      <c r="Q63" s="56"/>
      <c r="R63" s="57">
        <f t="shared" si="2"/>
        <v>16.646666666666665</v>
      </c>
      <c r="S63" s="58">
        <f t="shared" si="0"/>
        <v>19.98543312443473</v>
      </c>
    </row>
    <row r="64" spans="1:19" ht="15">
      <c r="A64" s="6">
        <v>60</v>
      </c>
      <c r="B64" s="38" t="s">
        <v>56</v>
      </c>
      <c r="C64" s="6">
        <v>5</v>
      </c>
      <c r="D64" s="38" t="s">
        <v>38</v>
      </c>
      <c r="E64" s="54">
        <v>37</v>
      </c>
      <c r="F64" s="54">
        <v>1962</v>
      </c>
      <c r="G64" s="54">
        <v>1533.1</v>
      </c>
      <c r="H64" s="54">
        <v>1413.78</v>
      </c>
      <c r="I64" s="54"/>
      <c r="J64" s="55">
        <v>222.59</v>
      </c>
      <c r="K64" s="56">
        <v>199.45</v>
      </c>
      <c r="L64" s="55">
        <v>186.31</v>
      </c>
      <c r="M64" s="57">
        <f>(L64+K64+J64)/3</f>
        <v>202.78333333333333</v>
      </c>
      <c r="N64" s="58">
        <f t="shared" si="1"/>
        <v>143.43344320427033</v>
      </c>
      <c r="O64" s="55">
        <v>43.51</v>
      </c>
      <c r="P64" s="56">
        <v>46.55</v>
      </c>
      <c r="Q64" s="55">
        <v>40.95</v>
      </c>
      <c r="R64" s="57">
        <f t="shared" si="2"/>
        <v>43.669999999999995</v>
      </c>
      <c r="S64" s="58">
        <f t="shared" si="0"/>
        <v>30.888822872016856</v>
      </c>
    </row>
    <row r="65" spans="1:19" ht="15">
      <c r="A65" s="6">
        <v>61</v>
      </c>
      <c r="B65" s="38" t="s">
        <v>11</v>
      </c>
      <c r="C65" s="6">
        <v>16</v>
      </c>
      <c r="D65" s="38" t="s">
        <v>38</v>
      </c>
      <c r="E65" s="54">
        <v>18</v>
      </c>
      <c r="F65" s="54"/>
      <c r="G65" s="54"/>
      <c r="H65" s="54">
        <v>836.88</v>
      </c>
      <c r="I65" s="54"/>
      <c r="J65" s="55">
        <v>112.61</v>
      </c>
      <c r="K65" s="56">
        <v>107.8</v>
      </c>
      <c r="L65" s="55">
        <v>88.43</v>
      </c>
      <c r="M65" s="57">
        <f>(L65+K65+J65)/3</f>
        <v>102.94666666666667</v>
      </c>
      <c r="N65" s="58">
        <f t="shared" si="1"/>
        <v>123.0124589746041</v>
      </c>
      <c r="O65" s="55">
        <v>50.59</v>
      </c>
      <c r="P65" s="56">
        <v>48</v>
      </c>
      <c r="Q65" s="55">
        <v>55.37</v>
      </c>
      <c r="R65" s="57">
        <f t="shared" si="2"/>
        <v>51.32</v>
      </c>
      <c r="S65" s="58">
        <f t="shared" si="0"/>
        <v>61.32300927253609</v>
      </c>
    </row>
    <row r="66" spans="1:19" ht="15">
      <c r="A66" s="6">
        <v>62</v>
      </c>
      <c r="B66" s="38" t="s">
        <v>57</v>
      </c>
      <c r="C66" s="6">
        <v>57</v>
      </c>
      <c r="D66" s="38" t="s">
        <v>38</v>
      </c>
      <c r="E66" s="54">
        <v>78</v>
      </c>
      <c r="F66" s="54">
        <v>1983</v>
      </c>
      <c r="G66" s="59">
        <v>4654.9</v>
      </c>
      <c r="H66" s="54">
        <v>3013.87</v>
      </c>
      <c r="I66" s="54"/>
      <c r="J66" s="55">
        <v>532.38</v>
      </c>
      <c r="K66" s="56">
        <v>501.13</v>
      </c>
      <c r="L66" s="55">
        <v>418.64</v>
      </c>
      <c r="M66" s="57">
        <f aca="true" t="shared" si="9" ref="M66:M74">(L66+K66+J66)/3</f>
        <v>484.05</v>
      </c>
      <c r="N66" s="58">
        <f t="shared" si="1"/>
        <v>160.6074581849914</v>
      </c>
      <c r="O66" s="55">
        <v>176.42</v>
      </c>
      <c r="P66" s="56">
        <v>181.37</v>
      </c>
      <c r="Q66" s="55">
        <v>204.36</v>
      </c>
      <c r="R66" s="57">
        <f t="shared" si="2"/>
        <v>187.38333333333333</v>
      </c>
      <c r="S66" s="58">
        <f t="shared" si="0"/>
        <v>62.17366154921524</v>
      </c>
    </row>
    <row r="67" spans="1:19" ht="15">
      <c r="A67" s="6">
        <v>63</v>
      </c>
      <c r="B67" s="38" t="s">
        <v>57</v>
      </c>
      <c r="C67" s="6">
        <v>58</v>
      </c>
      <c r="D67" s="38" t="s">
        <v>38</v>
      </c>
      <c r="E67" s="54">
        <v>108</v>
      </c>
      <c r="F67" s="54">
        <v>1986</v>
      </c>
      <c r="G67" s="54">
        <v>6833.9</v>
      </c>
      <c r="H67" s="54">
        <f>1730+1790.47+1761.45</f>
        <v>5281.92</v>
      </c>
      <c r="I67" s="54"/>
      <c r="J67" s="55">
        <f>237.47+193.01+260.2</f>
        <v>690.6800000000001</v>
      </c>
      <c r="K67" s="56">
        <f>231.87+163.56+217.4</f>
        <v>612.83</v>
      </c>
      <c r="L67" s="55">
        <v>591.83</v>
      </c>
      <c r="M67" s="57">
        <f t="shared" si="9"/>
        <v>631.7800000000001</v>
      </c>
      <c r="N67" s="58">
        <f t="shared" si="1"/>
        <v>119.6118078274567</v>
      </c>
      <c r="O67" s="55">
        <f>109.63+106.09+112.2</f>
        <v>327.92</v>
      </c>
      <c r="P67" s="56">
        <f>121.33+100.54+105.73</f>
        <v>327.6</v>
      </c>
      <c r="Q67" s="55">
        <v>327.38</v>
      </c>
      <c r="R67" s="57">
        <f t="shared" si="2"/>
        <v>327.6333333333333</v>
      </c>
      <c r="S67" s="58">
        <f t="shared" si="0"/>
        <v>62.02921159982228</v>
      </c>
    </row>
    <row r="68" spans="1:19" ht="15">
      <c r="A68" s="6">
        <v>64</v>
      </c>
      <c r="B68" s="38" t="s">
        <v>57</v>
      </c>
      <c r="C68" s="6">
        <v>59</v>
      </c>
      <c r="D68" s="38" t="s">
        <v>38</v>
      </c>
      <c r="E68" s="54">
        <v>71</v>
      </c>
      <c r="F68" s="54">
        <v>1985</v>
      </c>
      <c r="G68" s="54">
        <v>4750.5</v>
      </c>
      <c r="H68" s="54">
        <f>16.1+1753.9+1784.4</f>
        <v>3554.4</v>
      </c>
      <c r="I68" s="54"/>
      <c r="J68" s="55">
        <f>278.65+218.45+1.99</f>
        <v>499.09</v>
      </c>
      <c r="K68" s="56">
        <f>2.12+226.57+251.62</f>
        <v>480.31</v>
      </c>
      <c r="L68" s="55">
        <v>470.04</v>
      </c>
      <c r="M68" s="57">
        <f t="shared" si="9"/>
        <v>483.1466666666667</v>
      </c>
      <c r="N68" s="58">
        <f t="shared" si="1"/>
        <v>135.92917698251932</v>
      </c>
      <c r="O68" s="55">
        <f>1.26+114.3+105.65</f>
        <v>221.21</v>
      </c>
      <c r="P68" s="56">
        <f>0.66+109.42+103.88</f>
        <v>213.95999999999998</v>
      </c>
      <c r="Q68" s="55">
        <v>220.41</v>
      </c>
      <c r="R68" s="57">
        <f t="shared" si="2"/>
        <v>218.52666666666664</v>
      </c>
      <c r="S68" s="58">
        <f t="shared" si="0"/>
        <v>61.480606197014026</v>
      </c>
    </row>
    <row r="69" spans="1:19" ht="15">
      <c r="A69" s="6">
        <v>65</v>
      </c>
      <c r="B69" s="38" t="s">
        <v>57</v>
      </c>
      <c r="C69" s="6">
        <v>60</v>
      </c>
      <c r="D69" s="38" t="s">
        <v>38</v>
      </c>
      <c r="E69" s="54">
        <v>72</v>
      </c>
      <c r="F69" s="54">
        <v>1988</v>
      </c>
      <c r="G69" s="54">
        <v>4102.5</v>
      </c>
      <c r="H69" s="54">
        <f>1819.2+1840.3</f>
        <v>3659.5</v>
      </c>
      <c r="I69" s="54"/>
      <c r="J69" s="55">
        <f>280.29+279.17</f>
        <v>559.46</v>
      </c>
      <c r="K69" s="56">
        <f>270.25+266.69</f>
        <v>536.94</v>
      </c>
      <c r="L69" s="55">
        <v>468.08</v>
      </c>
      <c r="M69" s="57">
        <f t="shared" si="9"/>
        <v>521.4933333333333</v>
      </c>
      <c r="N69" s="58">
        <f t="shared" si="1"/>
        <v>142.50398506171152</v>
      </c>
      <c r="O69" s="55">
        <f>114.21+85.23</f>
        <v>199.44</v>
      </c>
      <c r="P69" s="56">
        <f>92.35+113.65</f>
        <v>206</v>
      </c>
      <c r="Q69" s="55">
        <v>206.42</v>
      </c>
      <c r="R69" s="57">
        <f t="shared" si="2"/>
        <v>203.95333333333335</v>
      </c>
      <c r="S69" s="58">
        <f aca="true" t="shared" si="10" ref="S69:S131">R69/H69*1000</f>
        <v>55.73256820148472</v>
      </c>
    </row>
    <row r="70" spans="1:19" ht="15">
      <c r="A70" s="6">
        <v>66</v>
      </c>
      <c r="B70" s="38" t="s">
        <v>57</v>
      </c>
      <c r="C70" s="6">
        <v>61</v>
      </c>
      <c r="D70" s="38" t="s">
        <v>38</v>
      </c>
      <c r="E70" s="54">
        <v>78</v>
      </c>
      <c r="F70" s="54">
        <v>1998</v>
      </c>
      <c r="G70" s="59">
        <v>4586.2</v>
      </c>
      <c r="H70" s="54">
        <f>2739.84+37.2</f>
        <v>2777.04</v>
      </c>
      <c r="I70" s="54"/>
      <c r="J70" s="55">
        <f>6.96+513.9</f>
        <v>520.86</v>
      </c>
      <c r="K70" s="56">
        <f>479.21+6.53</f>
        <v>485.73999999999995</v>
      </c>
      <c r="L70" s="55">
        <v>442.41</v>
      </c>
      <c r="M70" s="57">
        <f t="shared" si="9"/>
        <v>483.00333333333333</v>
      </c>
      <c r="N70" s="58">
        <f aca="true" t="shared" si="11" ref="N70:N132">M70/H70*1000</f>
        <v>173.92739511614286</v>
      </c>
      <c r="O70" s="55">
        <f>4.48+227.88</f>
        <v>232.35999999999999</v>
      </c>
      <c r="P70" s="56">
        <f>217.05+2.91</f>
        <v>219.96</v>
      </c>
      <c r="Q70" s="55">
        <v>223.06</v>
      </c>
      <c r="R70" s="57">
        <f aca="true" t="shared" si="12" ref="R70:R133">(O70+P70+Q70)/3</f>
        <v>225.12666666666667</v>
      </c>
      <c r="S70" s="58">
        <f t="shared" si="10"/>
        <v>81.06713143010784</v>
      </c>
    </row>
    <row r="71" spans="1:19" ht="15">
      <c r="A71" s="6">
        <v>67</v>
      </c>
      <c r="B71" s="38" t="s">
        <v>57</v>
      </c>
      <c r="C71" s="6">
        <v>62</v>
      </c>
      <c r="D71" s="38" t="s">
        <v>38</v>
      </c>
      <c r="E71" s="54">
        <v>72</v>
      </c>
      <c r="F71" s="54">
        <v>1988</v>
      </c>
      <c r="G71" s="54">
        <v>4687</v>
      </c>
      <c r="H71" s="54">
        <f>1829.35+1862.6</f>
        <v>3691.95</v>
      </c>
      <c r="I71" s="54"/>
      <c r="J71" s="55">
        <f>214.27+264.94</f>
        <v>479.21000000000004</v>
      </c>
      <c r="K71" s="56">
        <f>251.67+218.22</f>
        <v>469.89</v>
      </c>
      <c r="L71" s="55">
        <v>422.6</v>
      </c>
      <c r="M71" s="57">
        <f t="shared" si="9"/>
        <v>457.23333333333335</v>
      </c>
      <c r="N71" s="58">
        <f t="shared" si="11"/>
        <v>123.84602536148469</v>
      </c>
      <c r="O71" s="55">
        <f>115.1+101.46</f>
        <v>216.56</v>
      </c>
      <c r="P71" s="56">
        <f>95.53+122.48</f>
        <v>218.01</v>
      </c>
      <c r="Q71" s="55">
        <v>221.1</v>
      </c>
      <c r="R71" s="57">
        <f t="shared" si="12"/>
        <v>218.55666666666664</v>
      </c>
      <c r="S71" s="58">
        <f t="shared" si="10"/>
        <v>59.198165377826534</v>
      </c>
    </row>
    <row r="72" spans="1:19" ht="15">
      <c r="A72" s="6">
        <v>68</v>
      </c>
      <c r="B72" s="38" t="s">
        <v>57</v>
      </c>
      <c r="C72" s="6">
        <v>63</v>
      </c>
      <c r="D72" s="38" t="s">
        <v>38</v>
      </c>
      <c r="E72" s="54">
        <v>78</v>
      </c>
      <c r="F72" s="54">
        <v>1989</v>
      </c>
      <c r="G72" s="54">
        <v>4449.9</v>
      </c>
      <c r="H72" s="54">
        <v>3002.08</v>
      </c>
      <c r="I72" s="54"/>
      <c r="J72" s="55">
        <v>494.39</v>
      </c>
      <c r="K72" s="56">
        <v>471.2</v>
      </c>
      <c r="L72" s="55">
        <v>411.99</v>
      </c>
      <c r="M72" s="57">
        <f t="shared" si="9"/>
        <v>459.1933333333333</v>
      </c>
      <c r="N72" s="58">
        <f t="shared" si="11"/>
        <v>152.95839329176218</v>
      </c>
      <c r="O72" s="55">
        <v>238.94</v>
      </c>
      <c r="P72" s="56">
        <v>221.6</v>
      </c>
      <c r="Q72" s="55">
        <v>215.31</v>
      </c>
      <c r="R72" s="57">
        <f t="shared" si="12"/>
        <v>225.2833333333333</v>
      </c>
      <c r="S72" s="58">
        <f t="shared" si="10"/>
        <v>75.04241503668567</v>
      </c>
    </row>
    <row r="73" spans="1:19" ht="15">
      <c r="A73" s="6">
        <v>69</v>
      </c>
      <c r="B73" s="38" t="s">
        <v>57</v>
      </c>
      <c r="C73" s="6">
        <v>65</v>
      </c>
      <c r="D73" s="38" t="s">
        <v>38</v>
      </c>
      <c r="E73" s="54">
        <v>78</v>
      </c>
      <c r="F73" s="54">
        <v>1988</v>
      </c>
      <c r="G73" s="54">
        <v>4293.9</v>
      </c>
      <c r="H73" s="54">
        <v>2975.52</v>
      </c>
      <c r="I73" s="54"/>
      <c r="J73" s="55">
        <v>514.68</v>
      </c>
      <c r="K73" s="56">
        <v>467.64</v>
      </c>
      <c r="L73" s="55">
        <v>426.18</v>
      </c>
      <c r="M73" s="57">
        <f t="shared" si="9"/>
        <v>469.5</v>
      </c>
      <c r="N73" s="58">
        <f t="shared" si="11"/>
        <v>157.78754637844813</v>
      </c>
      <c r="O73" s="55">
        <v>163.32</v>
      </c>
      <c r="P73" s="56">
        <v>173.46</v>
      </c>
      <c r="Q73" s="55">
        <v>166.82</v>
      </c>
      <c r="R73" s="57">
        <f t="shared" si="12"/>
        <v>167.86666666666665</v>
      </c>
      <c r="S73" s="58">
        <f t="shared" si="10"/>
        <v>56.415909376064235</v>
      </c>
    </row>
    <row r="74" spans="1:19" ht="15">
      <c r="A74" s="6">
        <v>70</v>
      </c>
      <c r="B74" s="38" t="s">
        <v>57</v>
      </c>
      <c r="C74" s="6">
        <v>86</v>
      </c>
      <c r="D74" s="38" t="s">
        <v>38</v>
      </c>
      <c r="E74" s="54">
        <v>18</v>
      </c>
      <c r="F74" s="54"/>
      <c r="G74" s="54">
        <f>1172.6+4653</f>
        <v>5825.6</v>
      </c>
      <c r="H74" s="54">
        <f>1009+4653</f>
        <v>5662</v>
      </c>
      <c r="I74" s="54"/>
      <c r="J74" s="55">
        <f>185.82+368.35</f>
        <v>554.1700000000001</v>
      </c>
      <c r="K74" s="56">
        <f>383.03+188.18</f>
        <v>571.21</v>
      </c>
      <c r="L74" s="55">
        <v>135.11</v>
      </c>
      <c r="M74" s="57">
        <f t="shared" si="9"/>
        <v>420.1633333333334</v>
      </c>
      <c r="N74" s="58">
        <f t="shared" si="11"/>
        <v>74.20758271517721</v>
      </c>
      <c r="O74" s="55">
        <v>70.58</v>
      </c>
      <c r="P74" s="56">
        <v>70.32</v>
      </c>
      <c r="Q74" s="55">
        <v>67.97</v>
      </c>
      <c r="R74" s="57">
        <f t="shared" si="12"/>
        <v>69.62333333333332</v>
      </c>
      <c r="S74" s="58">
        <f t="shared" si="10"/>
        <v>12.296597197692215</v>
      </c>
    </row>
    <row r="75" spans="1:19" ht="15">
      <c r="A75" s="6">
        <v>71</v>
      </c>
      <c r="B75" s="38" t="s">
        <v>58</v>
      </c>
      <c r="C75" s="6">
        <v>22</v>
      </c>
      <c r="D75" s="38" t="s">
        <v>38</v>
      </c>
      <c r="E75" s="54">
        <v>22</v>
      </c>
      <c r="F75" s="54">
        <v>1964</v>
      </c>
      <c r="G75" s="59">
        <v>985.9</v>
      </c>
      <c r="H75" s="54">
        <f>100.8+832.12</f>
        <v>932.92</v>
      </c>
      <c r="I75" s="54"/>
      <c r="J75" s="55">
        <f>145.18+15.57</f>
        <v>160.75</v>
      </c>
      <c r="K75" s="69">
        <v>160.98</v>
      </c>
      <c r="L75" s="70">
        <v>163.88</v>
      </c>
      <c r="M75" s="57">
        <f aca="true" t="shared" si="13" ref="M75:M80">(L75+K75+J75)/3</f>
        <v>161.87</v>
      </c>
      <c r="N75" s="58">
        <f t="shared" si="11"/>
        <v>173.50898254941475</v>
      </c>
      <c r="O75" s="55">
        <v>0</v>
      </c>
      <c r="P75" s="69">
        <v>0</v>
      </c>
      <c r="Q75" s="70">
        <v>0</v>
      </c>
      <c r="R75" s="57">
        <f t="shared" si="12"/>
        <v>0</v>
      </c>
      <c r="S75" s="58">
        <f t="shared" si="10"/>
        <v>0</v>
      </c>
    </row>
    <row r="76" spans="1:19" ht="15">
      <c r="A76" s="6">
        <v>72</v>
      </c>
      <c r="B76" s="38" t="s">
        <v>58</v>
      </c>
      <c r="C76" s="6">
        <v>24</v>
      </c>
      <c r="D76" s="38" t="s">
        <v>38</v>
      </c>
      <c r="E76" s="54">
        <v>33</v>
      </c>
      <c r="F76" s="54">
        <v>1967</v>
      </c>
      <c r="G76" s="59">
        <v>1402.5</v>
      </c>
      <c r="H76" s="54">
        <v>1270.16</v>
      </c>
      <c r="I76" s="54"/>
      <c r="J76" s="55">
        <v>220.46</v>
      </c>
      <c r="K76" s="56">
        <v>215.62</v>
      </c>
      <c r="L76" s="55">
        <v>229.55</v>
      </c>
      <c r="M76" s="57">
        <f t="shared" si="13"/>
        <v>221.87666666666667</v>
      </c>
      <c r="N76" s="58">
        <f t="shared" si="11"/>
        <v>174.68402930864352</v>
      </c>
      <c r="O76" s="55">
        <v>0</v>
      </c>
      <c r="P76" s="56">
        <v>0</v>
      </c>
      <c r="Q76" s="55">
        <v>0</v>
      </c>
      <c r="R76" s="57">
        <f t="shared" si="12"/>
        <v>0</v>
      </c>
      <c r="S76" s="58">
        <f t="shared" si="10"/>
        <v>0</v>
      </c>
    </row>
    <row r="77" spans="1:19" ht="15">
      <c r="A77" s="6">
        <v>73</v>
      </c>
      <c r="B77" s="38" t="s">
        <v>58</v>
      </c>
      <c r="C77" s="6">
        <v>30</v>
      </c>
      <c r="D77" s="38" t="s">
        <v>38</v>
      </c>
      <c r="E77" s="54">
        <v>48</v>
      </c>
      <c r="F77" s="54">
        <v>1973</v>
      </c>
      <c r="G77" s="54">
        <v>3078.8</v>
      </c>
      <c r="H77" s="54">
        <v>2110.25</v>
      </c>
      <c r="I77" s="54"/>
      <c r="J77" s="55">
        <v>322.67</v>
      </c>
      <c r="K77" s="56">
        <v>290.68</v>
      </c>
      <c r="L77" s="55">
        <v>262.03</v>
      </c>
      <c r="M77" s="57">
        <f t="shared" si="13"/>
        <v>291.79333333333335</v>
      </c>
      <c r="N77" s="58">
        <f t="shared" si="11"/>
        <v>138.2742960944596</v>
      </c>
      <c r="O77" s="55">
        <v>120.43</v>
      </c>
      <c r="P77" s="56">
        <v>127.93</v>
      </c>
      <c r="Q77" s="55">
        <v>123.41</v>
      </c>
      <c r="R77" s="57">
        <f t="shared" si="12"/>
        <v>123.92333333333333</v>
      </c>
      <c r="S77" s="58">
        <f t="shared" si="10"/>
        <v>58.72447972199186</v>
      </c>
    </row>
    <row r="78" spans="1:19" ht="15">
      <c r="A78" s="6">
        <v>74</v>
      </c>
      <c r="B78" s="38" t="s">
        <v>58</v>
      </c>
      <c r="C78" s="6">
        <v>32</v>
      </c>
      <c r="D78" s="38" t="s">
        <v>38</v>
      </c>
      <c r="E78" s="54">
        <v>56</v>
      </c>
      <c r="F78" s="54"/>
      <c r="G78" s="54"/>
      <c r="H78" s="54">
        <v>2856.2</v>
      </c>
      <c r="I78" s="54"/>
      <c r="J78" s="55">
        <v>426.05</v>
      </c>
      <c r="K78" s="56">
        <v>406.24</v>
      </c>
      <c r="L78" s="55">
        <v>322.51</v>
      </c>
      <c r="M78" s="57">
        <f t="shared" si="13"/>
        <v>384.93333333333334</v>
      </c>
      <c r="N78" s="58">
        <f t="shared" si="11"/>
        <v>134.77114114324397</v>
      </c>
      <c r="O78" s="55">
        <v>182.76</v>
      </c>
      <c r="P78" s="56">
        <v>177.79</v>
      </c>
      <c r="Q78" s="55">
        <v>163.16</v>
      </c>
      <c r="R78" s="57">
        <f t="shared" si="12"/>
        <v>174.56999999999996</v>
      </c>
      <c r="S78" s="58">
        <f t="shared" si="10"/>
        <v>61.119669490932</v>
      </c>
    </row>
    <row r="79" spans="1:19" ht="15">
      <c r="A79" s="6">
        <v>75</v>
      </c>
      <c r="B79" s="38" t="s">
        <v>58</v>
      </c>
      <c r="C79" s="6">
        <v>34</v>
      </c>
      <c r="D79" s="38" t="s">
        <v>38</v>
      </c>
      <c r="E79" s="54">
        <v>70</v>
      </c>
      <c r="F79" s="54">
        <v>1977</v>
      </c>
      <c r="G79" s="54">
        <v>4702.3</v>
      </c>
      <c r="H79" s="54">
        <v>3608.7</v>
      </c>
      <c r="I79" s="54"/>
      <c r="J79" s="55">
        <v>488.33</v>
      </c>
      <c r="K79" s="56">
        <v>435.32</v>
      </c>
      <c r="L79" s="55">
        <v>355.11</v>
      </c>
      <c r="M79" s="57">
        <f t="shared" si="13"/>
        <v>426.25333333333333</v>
      </c>
      <c r="N79" s="58">
        <f t="shared" si="11"/>
        <v>118.1182512631511</v>
      </c>
      <c r="O79" s="55">
        <v>185.14</v>
      </c>
      <c r="P79" s="56">
        <v>180.88</v>
      </c>
      <c r="Q79" s="55">
        <v>192.98</v>
      </c>
      <c r="R79" s="57">
        <f t="shared" si="12"/>
        <v>186.33333333333334</v>
      </c>
      <c r="S79" s="58">
        <f t="shared" si="10"/>
        <v>51.634475942398474</v>
      </c>
    </row>
    <row r="80" spans="1:19" ht="15">
      <c r="A80" s="6">
        <v>76</v>
      </c>
      <c r="B80" s="38" t="s">
        <v>58</v>
      </c>
      <c r="C80" s="6">
        <v>36</v>
      </c>
      <c r="D80" s="38" t="s">
        <v>38</v>
      </c>
      <c r="E80" s="54">
        <v>70</v>
      </c>
      <c r="F80" s="54">
        <v>1989</v>
      </c>
      <c r="G80" s="54">
        <v>4723.8</v>
      </c>
      <c r="H80" s="54">
        <v>3726.55</v>
      </c>
      <c r="I80" s="54"/>
      <c r="J80" s="55">
        <v>524.42</v>
      </c>
      <c r="K80" s="56">
        <v>536.93</v>
      </c>
      <c r="L80" s="55">
        <v>516.44</v>
      </c>
      <c r="M80" s="57">
        <f t="shared" si="13"/>
        <v>525.93</v>
      </c>
      <c r="N80" s="58">
        <f t="shared" si="11"/>
        <v>141.13053628691415</v>
      </c>
      <c r="O80" s="55">
        <v>222.73</v>
      </c>
      <c r="P80" s="56">
        <v>211.65</v>
      </c>
      <c r="Q80" s="55">
        <v>221.63</v>
      </c>
      <c r="R80" s="57">
        <f t="shared" si="12"/>
        <v>218.67</v>
      </c>
      <c r="S80" s="58">
        <f t="shared" si="10"/>
        <v>58.67893896499442</v>
      </c>
    </row>
    <row r="81" spans="1:19" ht="15" customHeight="1">
      <c r="A81" s="6">
        <v>77</v>
      </c>
      <c r="B81" s="38" t="s">
        <v>12</v>
      </c>
      <c r="C81" s="6" t="s">
        <v>13</v>
      </c>
      <c r="D81" s="38" t="s">
        <v>8</v>
      </c>
      <c r="E81" s="54">
        <v>70</v>
      </c>
      <c r="F81" s="54">
        <v>1976</v>
      </c>
      <c r="G81" s="54">
        <v>2689.9</v>
      </c>
      <c r="H81" s="54">
        <v>1311.4</v>
      </c>
      <c r="I81" s="86">
        <v>120</v>
      </c>
      <c r="J81" s="55">
        <v>297.1</v>
      </c>
      <c r="K81" s="56">
        <v>283.47</v>
      </c>
      <c r="L81" s="55">
        <v>260.45</v>
      </c>
      <c r="M81" s="57">
        <f>(L81+K81+J81)/3</f>
        <v>280.34000000000003</v>
      </c>
      <c r="N81" s="58">
        <f t="shared" si="11"/>
        <v>213.77154186365718</v>
      </c>
      <c r="O81" s="54">
        <v>0</v>
      </c>
      <c r="P81" s="59">
        <v>0</v>
      </c>
      <c r="Q81" s="54">
        <v>0</v>
      </c>
      <c r="R81" s="57">
        <f t="shared" si="12"/>
        <v>0</v>
      </c>
      <c r="S81" s="58">
        <f t="shared" si="10"/>
        <v>0</v>
      </c>
    </row>
    <row r="82" spans="1:19" ht="18" customHeight="1">
      <c r="A82" s="6">
        <v>78</v>
      </c>
      <c r="B82" s="38" t="s">
        <v>12</v>
      </c>
      <c r="C82" s="6">
        <v>3</v>
      </c>
      <c r="D82" s="38" t="s">
        <v>38</v>
      </c>
      <c r="E82" s="54">
        <v>23</v>
      </c>
      <c r="F82" s="54"/>
      <c r="G82" s="54">
        <v>1415</v>
      </c>
      <c r="H82" s="54">
        <v>1200.48</v>
      </c>
      <c r="I82" s="54"/>
      <c r="J82" s="55">
        <v>203.42</v>
      </c>
      <c r="K82" s="56">
        <v>196.05</v>
      </c>
      <c r="L82" s="55">
        <v>185.08</v>
      </c>
      <c r="M82" s="57">
        <f>(L82+K82+J82)/3</f>
        <v>194.85</v>
      </c>
      <c r="N82" s="58">
        <f t="shared" si="11"/>
        <v>162.31007596961214</v>
      </c>
      <c r="O82" s="55">
        <v>70.9</v>
      </c>
      <c r="P82" s="56">
        <v>73.27</v>
      </c>
      <c r="Q82" s="55">
        <v>73.37</v>
      </c>
      <c r="R82" s="57">
        <f t="shared" si="12"/>
        <v>72.51333333333334</v>
      </c>
      <c r="S82" s="58">
        <f t="shared" si="10"/>
        <v>60.40361633124528</v>
      </c>
    </row>
    <row r="83" spans="1:19" ht="15">
      <c r="A83" s="6">
        <v>79</v>
      </c>
      <c r="B83" s="38" t="s">
        <v>12</v>
      </c>
      <c r="C83" s="6">
        <v>5</v>
      </c>
      <c r="D83" s="38" t="s">
        <v>38</v>
      </c>
      <c r="E83" s="54">
        <v>48</v>
      </c>
      <c r="F83" s="54"/>
      <c r="G83" s="54">
        <v>2840</v>
      </c>
      <c r="H83" s="63">
        <v>2734.01</v>
      </c>
      <c r="I83" s="54"/>
      <c r="J83" s="55">
        <v>422.05</v>
      </c>
      <c r="K83" s="56">
        <v>374.28</v>
      </c>
      <c r="L83" s="55">
        <v>348.14</v>
      </c>
      <c r="M83" s="57">
        <f>(L83+K83+J83)/3</f>
        <v>381.49</v>
      </c>
      <c r="N83" s="58">
        <f t="shared" si="11"/>
        <v>139.53496878211857</v>
      </c>
      <c r="O83" s="55">
        <v>136.73</v>
      </c>
      <c r="P83" s="56">
        <v>148.02</v>
      </c>
      <c r="Q83" s="55">
        <v>140.16</v>
      </c>
      <c r="R83" s="57">
        <f t="shared" si="12"/>
        <v>141.63666666666666</v>
      </c>
      <c r="S83" s="58">
        <f t="shared" si="10"/>
        <v>51.80546767080832</v>
      </c>
    </row>
    <row r="84" spans="1:19" ht="15">
      <c r="A84" s="6">
        <v>80</v>
      </c>
      <c r="B84" s="38" t="s">
        <v>12</v>
      </c>
      <c r="C84" s="6">
        <v>7</v>
      </c>
      <c r="D84" s="38" t="s">
        <v>38</v>
      </c>
      <c r="E84" s="54">
        <v>66</v>
      </c>
      <c r="F84" s="54">
        <v>1983</v>
      </c>
      <c r="G84" s="54">
        <v>4661</v>
      </c>
      <c r="H84" s="54">
        <v>3403.88</v>
      </c>
      <c r="I84" s="54"/>
      <c r="J84" s="55">
        <v>545.33</v>
      </c>
      <c r="K84" s="56">
        <v>526.51</v>
      </c>
      <c r="L84" s="55">
        <v>439.18</v>
      </c>
      <c r="M84" s="57">
        <f>(L84+K84+J84)/3</f>
        <v>503.67333333333335</v>
      </c>
      <c r="N84" s="58">
        <f t="shared" si="11"/>
        <v>147.9703553983493</v>
      </c>
      <c r="O84" s="55">
        <v>205.13</v>
      </c>
      <c r="P84" s="56">
        <v>216.72</v>
      </c>
      <c r="Q84" s="55">
        <v>179.04</v>
      </c>
      <c r="R84" s="57">
        <f t="shared" si="12"/>
        <v>200.29666666666665</v>
      </c>
      <c r="S84" s="58">
        <f t="shared" si="10"/>
        <v>58.84363334390949</v>
      </c>
    </row>
    <row r="85" spans="1:19" ht="15">
      <c r="A85" s="6">
        <v>81</v>
      </c>
      <c r="B85" s="38" t="s">
        <v>59</v>
      </c>
      <c r="C85" s="6">
        <v>2</v>
      </c>
      <c r="D85" s="38" t="s">
        <v>38</v>
      </c>
      <c r="E85" s="54">
        <v>60</v>
      </c>
      <c r="F85" s="54">
        <v>1970</v>
      </c>
      <c r="G85" s="54">
        <v>3961</v>
      </c>
      <c r="H85" s="54">
        <v>2712.8</v>
      </c>
      <c r="I85" s="54"/>
      <c r="J85" s="55">
        <v>342.91</v>
      </c>
      <c r="K85" s="56">
        <v>311.13</v>
      </c>
      <c r="L85" s="55">
        <v>290.92</v>
      </c>
      <c r="M85" s="57">
        <f aca="true" t="shared" si="14" ref="M85:M96">(L85+K85+J85)/3</f>
        <v>314.9866666666667</v>
      </c>
      <c r="N85" s="58">
        <f t="shared" si="11"/>
        <v>116.11127494347782</v>
      </c>
      <c r="O85" s="55">
        <v>130.15</v>
      </c>
      <c r="P85" s="56">
        <v>124.52</v>
      </c>
      <c r="Q85" s="55">
        <v>125.7</v>
      </c>
      <c r="R85" s="57">
        <f t="shared" si="12"/>
        <v>126.79</v>
      </c>
      <c r="S85" s="58">
        <f t="shared" si="10"/>
        <v>46.73768799764081</v>
      </c>
    </row>
    <row r="86" spans="1:19" ht="15">
      <c r="A86" s="6">
        <v>83</v>
      </c>
      <c r="B86" s="38" t="s">
        <v>14</v>
      </c>
      <c r="C86" s="6">
        <v>101</v>
      </c>
      <c r="D86" s="38" t="s">
        <v>8</v>
      </c>
      <c r="E86" s="63" t="s">
        <v>114</v>
      </c>
      <c r="F86" s="54"/>
      <c r="G86" s="54">
        <v>1265.2</v>
      </c>
      <c r="H86" s="54">
        <v>660.1</v>
      </c>
      <c r="I86" s="86">
        <v>51</v>
      </c>
      <c r="J86" s="55">
        <v>172.92</v>
      </c>
      <c r="K86" s="55">
        <v>159.13</v>
      </c>
      <c r="L86" s="55">
        <v>157.93</v>
      </c>
      <c r="M86" s="57">
        <f t="shared" si="14"/>
        <v>163.32666666666668</v>
      </c>
      <c r="N86" s="58">
        <f t="shared" si="11"/>
        <v>247.42715750138868</v>
      </c>
      <c r="O86" s="55">
        <v>28.97</v>
      </c>
      <c r="P86" s="55">
        <v>39.46</v>
      </c>
      <c r="Q86" s="55">
        <v>38.72</v>
      </c>
      <c r="R86" s="57">
        <f t="shared" si="12"/>
        <v>35.71666666666667</v>
      </c>
      <c r="S86" s="58">
        <f t="shared" si="10"/>
        <v>54.107963439882845</v>
      </c>
    </row>
    <row r="87" spans="1:19" ht="15">
      <c r="A87" s="6">
        <v>84</v>
      </c>
      <c r="B87" s="39" t="s">
        <v>14</v>
      </c>
      <c r="C87" s="14">
        <v>97</v>
      </c>
      <c r="D87" s="39" t="s">
        <v>38</v>
      </c>
      <c r="E87" s="56">
        <v>18</v>
      </c>
      <c r="F87" s="56"/>
      <c r="G87" s="56"/>
      <c r="H87" s="56">
        <v>1053.08</v>
      </c>
      <c r="I87" s="54"/>
      <c r="J87" s="55">
        <v>160.52</v>
      </c>
      <c r="K87" s="56">
        <v>151.73</v>
      </c>
      <c r="L87" s="55">
        <v>144.59</v>
      </c>
      <c r="M87" s="57">
        <f t="shared" si="14"/>
        <v>152.28</v>
      </c>
      <c r="N87" s="58">
        <f t="shared" si="11"/>
        <v>144.60439852622784</v>
      </c>
      <c r="O87" s="55">
        <v>51.33</v>
      </c>
      <c r="P87" s="56">
        <v>49.58</v>
      </c>
      <c r="Q87" s="55">
        <v>47.14</v>
      </c>
      <c r="R87" s="57">
        <f t="shared" si="12"/>
        <v>49.35</v>
      </c>
      <c r="S87" s="58">
        <f t="shared" si="10"/>
        <v>46.86253655942569</v>
      </c>
    </row>
    <row r="88" spans="1:19" ht="15">
      <c r="A88" s="6">
        <v>85</v>
      </c>
      <c r="B88" s="38" t="s">
        <v>14</v>
      </c>
      <c r="C88" s="6">
        <v>99</v>
      </c>
      <c r="D88" s="38" t="s">
        <v>38</v>
      </c>
      <c r="E88" s="54">
        <v>18</v>
      </c>
      <c r="F88" s="54">
        <v>1979</v>
      </c>
      <c r="G88" s="59">
        <v>1630.9</v>
      </c>
      <c r="H88" s="54">
        <v>1027.47</v>
      </c>
      <c r="I88" s="54"/>
      <c r="J88" s="55">
        <v>176.63</v>
      </c>
      <c r="K88" s="56">
        <v>166</v>
      </c>
      <c r="L88" s="55">
        <v>149.48</v>
      </c>
      <c r="M88" s="57">
        <f t="shared" si="14"/>
        <v>164.03666666666666</v>
      </c>
      <c r="N88" s="58">
        <f t="shared" si="11"/>
        <v>159.65105226105547</v>
      </c>
      <c r="O88" s="55">
        <v>49.98</v>
      </c>
      <c r="P88" s="56">
        <v>58.93</v>
      </c>
      <c r="Q88" s="55">
        <v>50.83</v>
      </c>
      <c r="R88" s="57">
        <f t="shared" si="12"/>
        <v>53.24666666666667</v>
      </c>
      <c r="S88" s="58">
        <f t="shared" si="10"/>
        <v>51.823086481032696</v>
      </c>
    </row>
    <row r="89" spans="1:19" ht="15">
      <c r="A89" s="6">
        <v>86</v>
      </c>
      <c r="B89" s="38" t="s">
        <v>14</v>
      </c>
      <c r="C89" s="6">
        <v>105</v>
      </c>
      <c r="D89" s="38" t="s">
        <v>38</v>
      </c>
      <c r="E89" s="54">
        <v>36</v>
      </c>
      <c r="F89" s="54">
        <v>1974</v>
      </c>
      <c r="G89" s="59">
        <v>2296.4</v>
      </c>
      <c r="H89" s="54">
        <v>1521.03</v>
      </c>
      <c r="I89" s="54"/>
      <c r="J89" s="55">
        <v>270.52</v>
      </c>
      <c r="K89" s="56">
        <v>244.19</v>
      </c>
      <c r="L89" s="55">
        <v>197.39</v>
      </c>
      <c r="M89" s="57">
        <f t="shared" si="14"/>
        <v>237.36666666666665</v>
      </c>
      <c r="N89" s="58">
        <f t="shared" si="11"/>
        <v>156.05653186765983</v>
      </c>
      <c r="O89" s="55">
        <v>79.06</v>
      </c>
      <c r="P89" s="56">
        <v>73.89</v>
      </c>
      <c r="Q89" s="55">
        <v>74.02</v>
      </c>
      <c r="R89" s="57">
        <f t="shared" si="12"/>
        <v>75.65666666666665</v>
      </c>
      <c r="S89" s="58">
        <f t="shared" si="10"/>
        <v>49.74041712962049</v>
      </c>
    </row>
    <row r="90" spans="1:19" ht="15">
      <c r="A90" s="6">
        <v>87</v>
      </c>
      <c r="B90" s="38" t="s">
        <v>36</v>
      </c>
      <c r="C90" s="6">
        <v>1</v>
      </c>
      <c r="D90" s="38" t="s">
        <v>38</v>
      </c>
      <c r="E90" s="54">
        <v>22</v>
      </c>
      <c r="F90" s="54">
        <v>1981</v>
      </c>
      <c r="G90" s="54">
        <v>1821.6</v>
      </c>
      <c r="H90" s="54">
        <v>1099.22</v>
      </c>
      <c r="I90" s="54"/>
      <c r="J90" s="55">
        <v>167.78</v>
      </c>
      <c r="K90" s="56">
        <v>157.79</v>
      </c>
      <c r="L90" s="55">
        <v>141.96</v>
      </c>
      <c r="M90" s="57">
        <f t="shared" si="14"/>
        <v>155.84333333333333</v>
      </c>
      <c r="N90" s="58">
        <f t="shared" si="11"/>
        <v>141.77628985401768</v>
      </c>
      <c r="O90" s="55">
        <v>81.3</v>
      </c>
      <c r="P90" s="56">
        <v>64.29</v>
      </c>
      <c r="Q90" s="55">
        <v>69.92</v>
      </c>
      <c r="R90" s="57">
        <f t="shared" si="12"/>
        <v>71.83666666666666</v>
      </c>
      <c r="S90" s="58">
        <f t="shared" si="10"/>
        <v>65.35240139978043</v>
      </c>
    </row>
    <row r="91" spans="1:19" ht="15">
      <c r="A91" s="6">
        <v>88</v>
      </c>
      <c r="B91" s="38" t="s">
        <v>36</v>
      </c>
      <c r="C91" s="6">
        <v>2</v>
      </c>
      <c r="D91" s="38" t="s">
        <v>38</v>
      </c>
      <c r="E91" s="54">
        <v>18</v>
      </c>
      <c r="F91" s="54">
        <v>1975</v>
      </c>
      <c r="G91" s="54">
        <v>1246.8</v>
      </c>
      <c r="H91" s="54">
        <v>841.59</v>
      </c>
      <c r="I91" s="54"/>
      <c r="J91" s="55">
        <v>122.22</v>
      </c>
      <c r="K91" s="56">
        <v>124.39</v>
      </c>
      <c r="L91" s="55">
        <v>100.37</v>
      </c>
      <c r="M91" s="57">
        <f t="shared" si="14"/>
        <v>115.66000000000001</v>
      </c>
      <c r="N91" s="58">
        <f t="shared" si="11"/>
        <v>137.43034018940338</v>
      </c>
      <c r="O91" s="55">
        <v>58.68</v>
      </c>
      <c r="P91" s="56">
        <v>55.06</v>
      </c>
      <c r="Q91" s="55">
        <v>50.35</v>
      </c>
      <c r="R91" s="57">
        <f t="shared" si="12"/>
        <v>54.696666666666665</v>
      </c>
      <c r="S91" s="58">
        <f t="shared" si="10"/>
        <v>64.99205868257306</v>
      </c>
    </row>
    <row r="92" spans="1:19" ht="15">
      <c r="A92" s="6">
        <v>89</v>
      </c>
      <c r="B92" s="38" t="s">
        <v>36</v>
      </c>
      <c r="C92" s="6" t="s">
        <v>13</v>
      </c>
      <c r="D92" s="38" t="s">
        <v>38</v>
      </c>
      <c r="E92" s="54">
        <v>32</v>
      </c>
      <c r="F92" s="54">
        <v>1978</v>
      </c>
      <c r="G92" s="54">
        <v>2995.1</v>
      </c>
      <c r="H92" s="54">
        <v>2103.2</v>
      </c>
      <c r="I92" s="54"/>
      <c r="J92" s="55">
        <v>298.56</v>
      </c>
      <c r="K92" s="56">
        <v>252.15</v>
      </c>
      <c r="L92" s="55">
        <v>214.05</v>
      </c>
      <c r="M92" s="57">
        <f t="shared" si="14"/>
        <v>254.92</v>
      </c>
      <c r="N92" s="58">
        <f t="shared" si="11"/>
        <v>121.20578166603272</v>
      </c>
      <c r="O92" s="55">
        <v>101.35</v>
      </c>
      <c r="P92" s="56">
        <v>89.96</v>
      </c>
      <c r="Q92" s="55">
        <v>82.75</v>
      </c>
      <c r="R92" s="57">
        <f t="shared" si="12"/>
        <v>91.35333333333334</v>
      </c>
      <c r="S92" s="58">
        <f t="shared" si="10"/>
        <v>43.43540002535819</v>
      </c>
    </row>
    <row r="93" spans="1:19" ht="15">
      <c r="A93" s="6">
        <v>90</v>
      </c>
      <c r="B93" s="38" t="s">
        <v>60</v>
      </c>
      <c r="C93" s="6">
        <v>1</v>
      </c>
      <c r="D93" s="38" t="s">
        <v>38</v>
      </c>
      <c r="E93" s="54" t="s">
        <v>115</v>
      </c>
      <c r="F93" s="54"/>
      <c r="G93" s="59"/>
      <c r="H93" s="54">
        <f>200.6+1566.61</f>
        <v>1767.2099999999998</v>
      </c>
      <c r="I93" s="54"/>
      <c r="J93" s="55">
        <f>27.95+275.14</f>
        <v>303.09</v>
      </c>
      <c r="K93" s="56">
        <f>18.22+268.54</f>
        <v>286.76</v>
      </c>
      <c r="L93" s="55">
        <v>285.55</v>
      </c>
      <c r="M93" s="57">
        <f t="shared" si="14"/>
        <v>291.79999999999995</v>
      </c>
      <c r="N93" s="58">
        <f t="shared" si="11"/>
        <v>165.11902943057135</v>
      </c>
      <c r="O93" s="55">
        <v>56.76</v>
      </c>
      <c r="P93" s="56">
        <v>68.86</v>
      </c>
      <c r="Q93" s="55">
        <v>67.4</v>
      </c>
      <c r="R93" s="57">
        <f t="shared" si="12"/>
        <v>64.34</v>
      </c>
      <c r="S93" s="58">
        <f t="shared" si="10"/>
        <v>36.407670848399455</v>
      </c>
    </row>
    <row r="94" spans="1:19" ht="15">
      <c r="A94" s="6">
        <v>91</v>
      </c>
      <c r="B94" s="38" t="s">
        <v>60</v>
      </c>
      <c r="C94" s="6">
        <v>6</v>
      </c>
      <c r="D94" s="38" t="s">
        <v>38</v>
      </c>
      <c r="E94" s="54">
        <v>64</v>
      </c>
      <c r="F94" s="54"/>
      <c r="G94" s="54">
        <v>1768.2</v>
      </c>
      <c r="H94" s="54">
        <v>1468.03</v>
      </c>
      <c r="I94" s="54"/>
      <c r="J94" s="55">
        <v>210.93</v>
      </c>
      <c r="K94" s="56">
        <v>190.92</v>
      </c>
      <c r="L94" s="55">
        <v>180.53</v>
      </c>
      <c r="M94" s="57">
        <f t="shared" si="14"/>
        <v>194.12666666666667</v>
      </c>
      <c r="N94" s="58">
        <f t="shared" si="11"/>
        <v>132.23617137706086</v>
      </c>
      <c r="O94" s="55">
        <v>100.7</v>
      </c>
      <c r="P94" s="56">
        <v>98.15</v>
      </c>
      <c r="Q94" s="55">
        <v>90.47</v>
      </c>
      <c r="R94" s="57">
        <f t="shared" si="12"/>
        <v>96.44000000000001</v>
      </c>
      <c r="S94" s="58">
        <f t="shared" si="10"/>
        <v>65.69348037846639</v>
      </c>
    </row>
    <row r="95" spans="1:19" ht="15">
      <c r="A95" s="6">
        <v>92</v>
      </c>
      <c r="B95" s="38" t="s">
        <v>60</v>
      </c>
      <c r="C95" s="6">
        <v>8</v>
      </c>
      <c r="D95" s="38" t="s">
        <v>38</v>
      </c>
      <c r="E95" s="54">
        <v>64</v>
      </c>
      <c r="F95" s="54"/>
      <c r="G95" s="59">
        <v>1780.3</v>
      </c>
      <c r="H95" s="54">
        <v>1504.7</v>
      </c>
      <c r="I95" s="54"/>
      <c r="J95" s="55">
        <v>260.81</v>
      </c>
      <c r="K95" s="56">
        <v>248.79</v>
      </c>
      <c r="L95" s="55">
        <v>231.98</v>
      </c>
      <c r="M95" s="57">
        <f t="shared" si="14"/>
        <v>247.1933333333333</v>
      </c>
      <c r="N95" s="58">
        <f t="shared" si="11"/>
        <v>164.28080902062425</v>
      </c>
      <c r="O95" s="55">
        <v>83.05</v>
      </c>
      <c r="P95" s="56">
        <v>80.15</v>
      </c>
      <c r="Q95" s="55">
        <v>77.42</v>
      </c>
      <c r="R95" s="57">
        <f t="shared" si="12"/>
        <v>80.20666666666666</v>
      </c>
      <c r="S95" s="58">
        <f t="shared" si="10"/>
        <v>53.304091624022504</v>
      </c>
    </row>
    <row r="96" spans="1:19" ht="15">
      <c r="A96" s="6">
        <v>93</v>
      </c>
      <c r="B96" s="38" t="s">
        <v>60</v>
      </c>
      <c r="C96" s="6">
        <v>9</v>
      </c>
      <c r="D96" s="38" t="s">
        <v>38</v>
      </c>
      <c r="E96" s="54"/>
      <c r="F96" s="54"/>
      <c r="G96" s="54"/>
      <c r="H96" s="54">
        <v>381.42</v>
      </c>
      <c r="I96" s="54"/>
      <c r="J96" s="55">
        <v>66.66</v>
      </c>
      <c r="K96" s="56">
        <v>62.65</v>
      </c>
      <c r="L96" s="55">
        <v>54.27</v>
      </c>
      <c r="M96" s="57">
        <f t="shared" si="14"/>
        <v>61.19333333333333</v>
      </c>
      <c r="N96" s="58">
        <f t="shared" si="11"/>
        <v>160.4355653435408</v>
      </c>
      <c r="O96" s="55">
        <v>11.83</v>
      </c>
      <c r="P96" s="56">
        <v>10.96</v>
      </c>
      <c r="Q96" s="55">
        <v>10.36</v>
      </c>
      <c r="R96" s="57">
        <f t="shared" si="12"/>
        <v>11.049999999999999</v>
      </c>
      <c r="S96" s="58">
        <f t="shared" si="10"/>
        <v>28.97068847989093</v>
      </c>
    </row>
    <row r="97" spans="1:19" ht="15">
      <c r="A97" s="6">
        <v>94</v>
      </c>
      <c r="B97" s="38" t="s">
        <v>60</v>
      </c>
      <c r="C97" s="6">
        <v>10</v>
      </c>
      <c r="D97" s="38" t="s">
        <v>38</v>
      </c>
      <c r="E97" s="54">
        <v>9</v>
      </c>
      <c r="F97" s="54">
        <v>1968</v>
      </c>
      <c r="G97" s="54">
        <v>445.6</v>
      </c>
      <c r="H97" s="54">
        <v>384.55</v>
      </c>
      <c r="I97" s="54"/>
      <c r="J97" s="55">
        <v>65.11</v>
      </c>
      <c r="K97" s="56">
        <v>60.21</v>
      </c>
      <c r="L97" s="55">
        <v>59.08</v>
      </c>
      <c r="M97" s="57">
        <f aca="true" t="shared" si="15" ref="M97:M104">(L97+K97+J97)/3</f>
        <v>61.46666666666666</v>
      </c>
      <c r="N97" s="58">
        <f t="shared" si="11"/>
        <v>159.84050621939062</v>
      </c>
      <c r="O97" s="55">
        <v>17.19</v>
      </c>
      <c r="P97" s="56">
        <v>14.28</v>
      </c>
      <c r="Q97" s="55">
        <v>12.17</v>
      </c>
      <c r="R97" s="57">
        <f t="shared" si="12"/>
        <v>14.546666666666667</v>
      </c>
      <c r="S97" s="58">
        <f t="shared" si="10"/>
        <v>37.827764053222374</v>
      </c>
    </row>
    <row r="98" spans="1:19" ht="15">
      <c r="A98" s="6">
        <v>95</v>
      </c>
      <c r="B98" s="38" t="s">
        <v>60</v>
      </c>
      <c r="C98" s="6">
        <v>15</v>
      </c>
      <c r="D98" s="38" t="s">
        <v>38</v>
      </c>
      <c r="E98" s="54">
        <v>55</v>
      </c>
      <c r="F98" s="54"/>
      <c r="G98" s="54">
        <v>2785.4</v>
      </c>
      <c r="H98" s="54">
        <v>2116.99</v>
      </c>
      <c r="I98" s="54"/>
      <c r="J98" s="55">
        <v>315.85</v>
      </c>
      <c r="K98" s="56">
        <v>312.18</v>
      </c>
      <c r="L98" s="55">
        <v>296.87</v>
      </c>
      <c r="M98" s="57">
        <f t="shared" si="15"/>
        <v>308.3</v>
      </c>
      <c r="N98" s="58">
        <f t="shared" si="11"/>
        <v>145.63129726640184</v>
      </c>
      <c r="O98" s="55">
        <v>103.62</v>
      </c>
      <c r="P98" s="56">
        <v>110.25</v>
      </c>
      <c r="Q98" s="55">
        <v>113.6</v>
      </c>
      <c r="R98" s="57">
        <f t="shared" si="12"/>
        <v>109.15666666666668</v>
      </c>
      <c r="S98" s="58">
        <f t="shared" si="10"/>
        <v>51.562202309253564</v>
      </c>
    </row>
    <row r="99" spans="1:19" ht="15">
      <c r="A99" s="6">
        <v>96</v>
      </c>
      <c r="B99" s="38" t="s">
        <v>60</v>
      </c>
      <c r="C99" s="6">
        <v>17</v>
      </c>
      <c r="D99" s="38" t="s">
        <v>38</v>
      </c>
      <c r="E99" s="54">
        <v>120</v>
      </c>
      <c r="F99" s="54"/>
      <c r="G99" s="54">
        <v>7131.3</v>
      </c>
      <c r="H99" s="54">
        <f>2632.02+2642.18</f>
        <v>5274.2</v>
      </c>
      <c r="I99" s="54"/>
      <c r="J99" s="55">
        <f>398.3+342.95</f>
        <v>741.25</v>
      </c>
      <c r="K99" s="56">
        <f>370.81+369.58</f>
        <v>740.39</v>
      </c>
      <c r="L99" s="55">
        <v>649.54</v>
      </c>
      <c r="M99" s="57">
        <f t="shared" si="15"/>
        <v>710.3933333333333</v>
      </c>
      <c r="N99" s="58">
        <f t="shared" si="11"/>
        <v>134.6921492043027</v>
      </c>
      <c r="O99" s="55">
        <f>133.98+160.96</f>
        <v>294.94</v>
      </c>
      <c r="P99" s="56">
        <f>139.66+129.97</f>
        <v>269.63</v>
      </c>
      <c r="Q99" s="55">
        <v>273.33</v>
      </c>
      <c r="R99" s="57">
        <f t="shared" si="12"/>
        <v>279.29999999999995</v>
      </c>
      <c r="S99" s="58">
        <f t="shared" si="10"/>
        <v>52.955898524894764</v>
      </c>
    </row>
    <row r="100" spans="1:19" ht="15">
      <c r="A100" s="6">
        <v>97</v>
      </c>
      <c r="B100" s="38" t="s">
        <v>61</v>
      </c>
      <c r="C100" s="6">
        <v>2</v>
      </c>
      <c r="D100" s="38" t="s">
        <v>38</v>
      </c>
      <c r="E100" s="54">
        <v>12</v>
      </c>
      <c r="F100" s="54">
        <v>1980</v>
      </c>
      <c r="G100" s="54">
        <v>1197.4</v>
      </c>
      <c r="H100" s="54">
        <f>752.26+85.68</f>
        <v>837.94</v>
      </c>
      <c r="I100" s="54"/>
      <c r="J100" s="55">
        <f>12.8+111.59</f>
        <v>124.39</v>
      </c>
      <c r="K100" s="56">
        <f>104.65+11.93</f>
        <v>116.58000000000001</v>
      </c>
      <c r="L100" s="55">
        <v>108.98</v>
      </c>
      <c r="M100" s="57">
        <f t="shared" si="15"/>
        <v>116.64999999999999</v>
      </c>
      <c r="N100" s="58">
        <f t="shared" si="11"/>
        <v>139.21044466190895</v>
      </c>
      <c r="O100" s="55">
        <f>0.21+32.8</f>
        <v>33.01</v>
      </c>
      <c r="P100" s="56">
        <f>32.46+0.16</f>
        <v>32.62</v>
      </c>
      <c r="Q100" s="55">
        <v>36.02</v>
      </c>
      <c r="R100" s="57">
        <f t="shared" si="12"/>
        <v>33.88333333333333</v>
      </c>
      <c r="S100" s="58">
        <f t="shared" si="10"/>
        <v>40.43646720926717</v>
      </c>
    </row>
    <row r="101" spans="1:19" ht="15">
      <c r="A101" s="6">
        <v>98</v>
      </c>
      <c r="B101" s="38" t="s">
        <v>61</v>
      </c>
      <c r="C101" s="6">
        <v>4</v>
      </c>
      <c r="D101" s="38" t="s">
        <v>38</v>
      </c>
      <c r="E101" s="54">
        <v>30</v>
      </c>
      <c r="F101" s="54">
        <v>1982</v>
      </c>
      <c r="G101" s="54">
        <v>2053.6</v>
      </c>
      <c r="H101" s="54">
        <f>936.9+322.4</f>
        <v>1259.3</v>
      </c>
      <c r="I101" s="54"/>
      <c r="J101" s="55">
        <f>62.31+148.49</f>
        <v>210.8</v>
      </c>
      <c r="K101" s="56">
        <f>125.22+53.06</f>
        <v>178.28</v>
      </c>
      <c r="L101" s="55">
        <v>169.76</v>
      </c>
      <c r="M101" s="57">
        <f t="shared" si="15"/>
        <v>186.27999999999997</v>
      </c>
      <c r="N101" s="58">
        <f t="shared" si="11"/>
        <v>147.9234495354562</v>
      </c>
      <c r="O101" s="55">
        <f>23.65+69.4</f>
        <v>93.05000000000001</v>
      </c>
      <c r="P101" s="56">
        <f>66.78+25.64</f>
        <v>92.42</v>
      </c>
      <c r="Q101" s="55">
        <v>95.29</v>
      </c>
      <c r="R101" s="57">
        <f t="shared" si="12"/>
        <v>93.58666666666669</v>
      </c>
      <c r="S101" s="58">
        <f t="shared" si="10"/>
        <v>74.31641917467378</v>
      </c>
    </row>
    <row r="102" spans="1:19" ht="15">
      <c r="A102" s="6">
        <v>99</v>
      </c>
      <c r="B102" s="38" t="s">
        <v>61</v>
      </c>
      <c r="C102" s="6">
        <v>6</v>
      </c>
      <c r="D102" s="38" t="s">
        <v>38</v>
      </c>
      <c r="E102" s="54">
        <v>12</v>
      </c>
      <c r="F102" s="54"/>
      <c r="G102" s="59">
        <v>732.2</v>
      </c>
      <c r="H102" s="54">
        <v>707.44</v>
      </c>
      <c r="I102" s="54"/>
      <c r="J102" s="55">
        <v>131.37</v>
      </c>
      <c r="K102" s="56">
        <v>126.57</v>
      </c>
      <c r="L102" s="55">
        <v>108.28</v>
      </c>
      <c r="M102" s="57">
        <f t="shared" si="15"/>
        <v>122.07333333333334</v>
      </c>
      <c r="N102" s="58">
        <f t="shared" si="11"/>
        <v>172.55644766105016</v>
      </c>
      <c r="O102" s="55">
        <v>51.23</v>
      </c>
      <c r="P102" s="56">
        <v>50.53</v>
      </c>
      <c r="Q102" s="55">
        <v>49.82</v>
      </c>
      <c r="R102" s="57">
        <f t="shared" si="12"/>
        <v>50.526666666666664</v>
      </c>
      <c r="S102" s="58">
        <f t="shared" si="10"/>
        <v>71.42184025029212</v>
      </c>
    </row>
    <row r="103" spans="1:19" ht="15">
      <c r="A103" s="6">
        <v>100</v>
      </c>
      <c r="B103" s="38" t="s">
        <v>61</v>
      </c>
      <c r="C103" s="6">
        <v>8</v>
      </c>
      <c r="D103" s="38" t="s">
        <v>38</v>
      </c>
      <c r="E103" s="54">
        <v>42</v>
      </c>
      <c r="F103" s="54"/>
      <c r="G103" s="54">
        <v>3142.4</v>
      </c>
      <c r="H103" s="54">
        <f>1722.56+324.1</f>
        <v>2046.6599999999999</v>
      </c>
      <c r="I103" s="54"/>
      <c r="J103" s="55">
        <f>49.11+235.93</f>
        <v>285.04</v>
      </c>
      <c r="K103" s="56">
        <f>219.43+42.77</f>
        <v>262.2</v>
      </c>
      <c r="L103" s="55">
        <v>234.28</v>
      </c>
      <c r="M103" s="57">
        <f t="shared" si="15"/>
        <v>260.50666666666666</v>
      </c>
      <c r="N103" s="58">
        <f t="shared" si="11"/>
        <v>127.28380222736882</v>
      </c>
      <c r="O103" s="55">
        <f>17.79+104.17</f>
        <v>121.96000000000001</v>
      </c>
      <c r="P103" s="56">
        <f>102.35+18.83</f>
        <v>121.17999999999999</v>
      </c>
      <c r="Q103" s="55">
        <v>124.42</v>
      </c>
      <c r="R103" s="57">
        <f t="shared" si="12"/>
        <v>122.52</v>
      </c>
      <c r="S103" s="58">
        <f t="shared" si="10"/>
        <v>59.86338717715693</v>
      </c>
    </row>
    <row r="104" spans="1:19" ht="15">
      <c r="A104" s="6">
        <v>101</v>
      </c>
      <c r="B104" s="38" t="s">
        <v>61</v>
      </c>
      <c r="C104" s="6">
        <v>10</v>
      </c>
      <c r="D104" s="38" t="s">
        <v>38</v>
      </c>
      <c r="E104" s="54">
        <v>12</v>
      </c>
      <c r="F104" s="54"/>
      <c r="G104" s="59">
        <v>688.2</v>
      </c>
      <c r="H104" s="54">
        <v>643.41</v>
      </c>
      <c r="I104" s="54"/>
      <c r="J104" s="55">
        <v>95.43</v>
      </c>
      <c r="K104" s="56">
        <v>78.66</v>
      </c>
      <c r="L104" s="55">
        <v>74.29</v>
      </c>
      <c r="M104" s="57">
        <f t="shared" si="15"/>
        <v>82.79333333333334</v>
      </c>
      <c r="N104" s="58">
        <f t="shared" si="11"/>
        <v>128.6789657191112</v>
      </c>
      <c r="O104" s="55">
        <v>47.67</v>
      </c>
      <c r="P104" s="56">
        <v>56.94</v>
      </c>
      <c r="Q104" s="55">
        <v>51.01</v>
      </c>
      <c r="R104" s="57">
        <f t="shared" si="12"/>
        <v>51.873333333333335</v>
      </c>
      <c r="S104" s="58">
        <f t="shared" si="10"/>
        <v>80.62251648767246</v>
      </c>
    </row>
    <row r="105" spans="1:19" ht="15">
      <c r="A105" s="6">
        <v>102</v>
      </c>
      <c r="B105" s="38" t="s">
        <v>62</v>
      </c>
      <c r="C105" s="6">
        <v>10</v>
      </c>
      <c r="D105" s="38" t="s">
        <v>38</v>
      </c>
      <c r="E105" s="54">
        <v>18</v>
      </c>
      <c r="F105" s="54">
        <v>1910</v>
      </c>
      <c r="G105" s="54">
        <v>193.3</v>
      </c>
      <c r="H105" s="54">
        <v>950.2</v>
      </c>
      <c r="I105" s="54"/>
      <c r="J105" s="55">
        <v>149.26</v>
      </c>
      <c r="K105" s="56">
        <v>148.96</v>
      </c>
      <c r="L105" s="55">
        <v>135.52</v>
      </c>
      <c r="M105" s="57">
        <f aca="true" t="shared" si="16" ref="M105:M111">(L105+K105+J105)/3</f>
        <v>144.58</v>
      </c>
      <c r="N105" s="58">
        <f t="shared" si="11"/>
        <v>152.15744053883392</v>
      </c>
      <c r="O105" s="55">
        <v>44.15</v>
      </c>
      <c r="P105" s="56">
        <v>42.6</v>
      </c>
      <c r="Q105" s="55">
        <v>46.01</v>
      </c>
      <c r="R105" s="57">
        <f t="shared" si="12"/>
        <v>44.25333333333333</v>
      </c>
      <c r="S105" s="58">
        <f t="shared" si="10"/>
        <v>46.57265137164105</v>
      </c>
    </row>
    <row r="106" spans="1:19" ht="15">
      <c r="A106" s="6">
        <v>103</v>
      </c>
      <c r="B106" s="38" t="s">
        <v>62</v>
      </c>
      <c r="C106" s="6">
        <v>12</v>
      </c>
      <c r="D106" s="38" t="s">
        <v>38</v>
      </c>
      <c r="E106" s="54">
        <v>71</v>
      </c>
      <c r="F106" s="54">
        <v>1973</v>
      </c>
      <c r="G106" s="59">
        <v>4675.3</v>
      </c>
      <c r="H106" s="54">
        <v>2974.37</v>
      </c>
      <c r="I106" s="54"/>
      <c r="J106" s="55">
        <v>538.54</v>
      </c>
      <c r="K106" s="56">
        <v>578.62</v>
      </c>
      <c r="L106" s="55">
        <v>520.95</v>
      </c>
      <c r="M106" s="57">
        <f t="shared" si="16"/>
        <v>546.0366666666667</v>
      </c>
      <c r="N106" s="58">
        <f t="shared" si="11"/>
        <v>183.58061258910854</v>
      </c>
      <c r="O106" s="55">
        <v>154.23</v>
      </c>
      <c r="P106" s="56">
        <v>169.92</v>
      </c>
      <c r="Q106" s="55">
        <v>171.99</v>
      </c>
      <c r="R106" s="57">
        <f t="shared" si="12"/>
        <v>165.38</v>
      </c>
      <c r="S106" s="58">
        <f t="shared" si="10"/>
        <v>55.60169044200957</v>
      </c>
    </row>
    <row r="107" spans="1:19" ht="15">
      <c r="A107" s="6">
        <v>104</v>
      </c>
      <c r="B107" s="38" t="s">
        <v>62</v>
      </c>
      <c r="C107" s="6">
        <v>14</v>
      </c>
      <c r="D107" s="38" t="s">
        <v>38</v>
      </c>
      <c r="E107" s="54"/>
      <c r="F107" s="59"/>
      <c r="G107" s="59">
        <v>276.4</v>
      </c>
      <c r="H107" s="54">
        <v>126.72</v>
      </c>
      <c r="I107" s="54"/>
      <c r="J107" s="55">
        <v>23.44</v>
      </c>
      <c r="K107" s="56">
        <v>22.16</v>
      </c>
      <c r="L107" s="55">
        <v>21.36</v>
      </c>
      <c r="M107" s="57">
        <f t="shared" si="16"/>
        <v>22.319999999999997</v>
      </c>
      <c r="N107" s="58">
        <f t="shared" si="11"/>
        <v>176.13636363636363</v>
      </c>
      <c r="O107" s="55">
        <v>10.69</v>
      </c>
      <c r="P107" s="56">
        <v>7.83</v>
      </c>
      <c r="Q107" s="55">
        <v>8.17</v>
      </c>
      <c r="R107" s="57">
        <f t="shared" si="12"/>
        <v>8.896666666666667</v>
      </c>
      <c r="S107" s="58">
        <f t="shared" si="10"/>
        <v>70.20728114478115</v>
      </c>
    </row>
    <row r="108" spans="1:19" ht="15">
      <c r="A108" s="6">
        <v>105</v>
      </c>
      <c r="B108" s="38" t="s">
        <v>62</v>
      </c>
      <c r="C108" s="6">
        <v>19</v>
      </c>
      <c r="D108" s="38" t="s">
        <v>38</v>
      </c>
      <c r="E108" s="54">
        <v>40</v>
      </c>
      <c r="F108" s="59"/>
      <c r="G108" s="59">
        <v>1850</v>
      </c>
      <c r="H108" s="54">
        <v>1715.54</v>
      </c>
      <c r="I108" s="54"/>
      <c r="J108" s="55">
        <v>233.04</v>
      </c>
      <c r="K108" s="56">
        <v>218.22</v>
      </c>
      <c r="L108" s="55">
        <v>190.23</v>
      </c>
      <c r="M108" s="57">
        <f t="shared" si="16"/>
        <v>213.83</v>
      </c>
      <c r="N108" s="58">
        <f t="shared" si="11"/>
        <v>124.64296956060483</v>
      </c>
      <c r="O108" s="55">
        <v>91.34</v>
      </c>
      <c r="P108" s="56">
        <v>93.73</v>
      </c>
      <c r="Q108" s="55">
        <v>90.66</v>
      </c>
      <c r="R108" s="57">
        <f t="shared" si="12"/>
        <v>91.91000000000001</v>
      </c>
      <c r="S108" s="58">
        <f t="shared" si="10"/>
        <v>53.574967648670395</v>
      </c>
    </row>
    <row r="109" spans="1:19" ht="15">
      <c r="A109" s="6">
        <v>106</v>
      </c>
      <c r="B109" s="38" t="s">
        <v>62</v>
      </c>
      <c r="C109" s="6">
        <v>48</v>
      </c>
      <c r="D109" s="38" t="s">
        <v>38</v>
      </c>
      <c r="E109" s="54">
        <v>55</v>
      </c>
      <c r="F109" s="54">
        <v>1972</v>
      </c>
      <c r="G109" s="59">
        <v>2660.9</v>
      </c>
      <c r="H109" s="54">
        <f>2136.42+264</f>
        <v>2400.42</v>
      </c>
      <c r="I109" s="54"/>
      <c r="J109" s="55">
        <f>324.01+73.51</f>
        <v>397.52</v>
      </c>
      <c r="K109" s="56">
        <f>340.63+63.84</f>
        <v>404.47</v>
      </c>
      <c r="L109" s="55">
        <v>350.24</v>
      </c>
      <c r="M109" s="57">
        <f t="shared" si="16"/>
        <v>384.07666666666665</v>
      </c>
      <c r="N109" s="58">
        <f t="shared" si="11"/>
        <v>160.00394375428743</v>
      </c>
      <c r="O109" s="55">
        <f>124.14+19</f>
        <v>143.14</v>
      </c>
      <c r="P109" s="56">
        <f>121.97+11.8</f>
        <v>133.77</v>
      </c>
      <c r="Q109" s="55">
        <v>135.67</v>
      </c>
      <c r="R109" s="57">
        <f t="shared" si="12"/>
        <v>137.52666666666664</v>
      </c>
      <c r="S109" s="58">
        <f t="shared" si="10"/>
        <v>57.29275154625717</v>
      </c>
    </row>
    <row r="110" spans="1:19" ht="15">
      <c r="A110" s="6">
        <v>107</v>
      </c>
      <c r="B110" s="38" t="s">
        <v>62</v>
      </c>
      <c r="C110" s="6">
        <v>3</v>
      </c>
      <c r="D110" s="38"/>
      <c r="E110" s="54"/>
      <c r="F110" s="54"/>
      <c r="G110" s="66">
        <v>2205.47</v>
      </c>
      <c r="H110" s="66">
        <v>2309.61</v>
      </c>
      <c r="I110" s="54"/>
      <c r="J110" s="61">
        <v>276.27</v>
      </c>
      <c r="K110" s="55">
        <v>273.81</v>
      </c>
      <c r="L110" s="61">
        <v>261.05</v>
      </c>
      <c r="M110" s="57">
        <f t="shared" si="16"/>
        <v>270.37666666666667</v>
      </c>
      <c r="N110" s="58">
        <f t="shared" si="11"/>
        <v>117.06594042572843</v>
      </c>
      <c r="O110" s="61">
        <v>72.03</v>
      </c>
      <c r="P110" s="55">
        <v>66.98</v>
      </c>
      <c r="Q110" s="61">
        <v>66.23</v>
      </c>
      <c r="R110" s="57">
        <f t="shared" si="12"/>
        <v>68.41333333333334</v>
      </c>
      <c r="S110" s="58">
        <f t="shared" si="10"/>
        <v>29.621162591664106</v>
      </c>
    </row>
    <row r="111" spans="1:19" ht="14.25" customHeight="1">
      <c r="A111" s="6">
        <v>108</v>
      </c>
      <c r="B111" s="38" t="s">
        <v>62</v>
      </c>
      <c r="C111" s="6">
        <v>5</v>
      </c>
      <c r="D111" s="38" t="s">
        <v>43</v>
      </c>
      <c r="E111" s="54">
        <v>55</v>
      </c>
      <c r="F111" s="54"/>
      <c r="G111" s="66">
        <v>2179.96</v>
      </c>
      <c r="H111" s="66">
        <v>2128.83</v>
      </c>
      <c r="I111" s="54"/>
      <c r="J111" s="61">
        <v>248.2</v>
      </c>
      <c r="K111" s="55">
        <v>259.01</v>
      </c>
      <c r="L111" s="61">
        <v>253.86</v>
      </c>
      <c r="M111" s="57">
        <f t="shared" si="16"/>
        <v>253.68999999999997</v>
      </c>
      <c r="N111" s="58">
        <f t="shared" si="11"/>
        <v>119.16874527322518</v>
      </c>
      <c r="O111" s="61">
        <v>83.7</v>
      </c>
      <c r="P111" s="55">
        <v>89.35</v>
      </c>
      <c r="Q111" s="61">
        <v>79.22</v>
      </c>
      <c r="R111" s="57">
        <f t="shared" si="12"/>
        <v>84.09</v>
      </c>
      <c r="S111" s="58">
        <f t="shared" si="10"/>
        <v>39.500570736038114</v>
      </c>
    </row>
    <row r="112" spans="1:19" ht="51.75">
      <c r="A112" s="6">
        <v>109</v>
      </c>
      <c r="B112" s="52" t="s">
        <v>63</v>
      </c>
      <c r="C112" s="15" t="s">
        <v>64</v>
      </c>
      <c r="D112" s="41" t="s">
        <v>65</v>
      </c>
      <c r="E112" s="87" t="s">
        <v>110</v>
      </c>
      <c r="F112" s="88">
        <v>0</v>
      </c>
      <c r="G112" s="88">
        <v>3031.5</v>
      </c>
      <c r="H112" s="89">
        <v>1906.7</v>
      </c>
      <c r="I112" s="87"/>
      <c r="J112" s="90">
        <v>287.59</v>
      </c>
      <c r="K112" s="91">
        <v>281.91</v>
      </c>
      <c r="L112" s="90">
        <v>235.7201</v>
      </c>
      <c r="M112" s="92">
        <f>(L112+K112+J112)/3</f>
        <v>268.4067</v>
      </c>
      <c r="N112" s="93">
        <f t="shared" si="11"/>
        <v>140.77028373629832</v>
      </c>
      <c r="O112" s="90">
        <v>125.93</v>
      </c>
      <c r="P112" s="91">
        <v>121.7</v>
      </c>
      <c r="Q112" s="90">
        <v>112.92012000000004</v>
      </c>
      <c r="R112" s="92">
        <f t="shared" si="12"/>
        <v>120.18337333333335</v>
      </c>
      <c r="S112" s="93">
        <f t="shared" si="10"/>
        <v>63.03213580182165</v>
      </c>
    </row>
    <row r="113" spans="1:19" ht="15">
      <c r="A113" s="6">
        <v>110</v>
      </c>
      <c r="B113" s="42" t="s">
        <v>63</v>
      </c>
      <c r="C113" s="14">
        <v>5</v>
      </c>
      <c r="D113" s="42" t="s">
        <v>38</v>
      </c>
      <c r="E113" s="63">
        <v>27</v>
      </c>
      <c r="F113" s="63"/>
      <c r="G113" s="59">
        <v>1654</v>
      </c>
      <c r="H113" s="54">
        <v>997.38</v>
      </c>
      <c r="I113" s="63"/>
      <c r="J113" s="55">
        <v>202.59</v>
      </c>
      <c r="K113" s="56">
        <v>159.9</v>
      </c>
      <c r="L113" s="55">
        <v>134.44</v>
      </c>
      <c r="M113" s="57">
        <f>(L113+K113+J113)/3</f>
        <v>165.64333333333335</v>
      </c>
      <c r="N113" s="58">
        <f t="shared" si="11"/>
        <v>166.07845889563993</v>
      </c>
      <c r="O113" s="55">
        <v>58.8</v>
      </c>
      <c r="P113" s="56">
        <v>51.05</v>
      </c>
      <c r="Q113" s="55">
        <v>50.85</v>
      </c>
      <c r="R113" s="57">
        <f t="shared" si="12"/>
        <v>53.56666666666666</v>
      </c>
      <c r="S113" s="58">
        <f t="shared" si="10"/>
        <v>53.70738000227262</v>
      </c>
    </row>
    <row r="114" spans="1:19" ht="15">
      <c r="A114" s="6">
        <v>111</v>
      </c>
      <c r="B114" s="38" t="s">
        <v>66</v>
      </c>
      <c r="C114" s="6">
        <v>21</v>
      </c>
      <c r="D114" s="38" t="s">
        <v>38</v>
      </c>
      <c r="E114" s="54">
        <v>18</v>
      </c>
      <c r="F114" s="54">
        <v>1970</v>
      </c>
      <c r="G114" s="54">
        <v>831.2</v>
      </c>
      <c r="H114" s="54">
        <v>530.93</v>
      </c>
      <c r="I114" s="54"/>
      <c r="J114" s="55">
        <v>103.49</v>
      </c>
      <c r="K114" s="56">
        <v>100.81</v>
      </c>
      <c r="L114" s="55">
        <v>93.41</v>
      </c>
      <c r="M114" s="57">
        <f>(L114+K114+J114)/3</f>
        <v>99.23666666666666</v>
      </c>
      <c r="N114" s="58">
        <f t="shared" si="11"/>
        <v>186.91101777384338</v>
      </c>
      <c r="O114" s="55">
        <v>31.81</v>
      </c>
      <c r="P114" s="56">
        <v>31.89</v>
      </c>
      <c r="Q114" s="55">
        <v>27.49</v>
      </c>
      <c r="R114" s="57">
        <f t="shared" si="12"/>
        <v>30.396666666666665</v>
      </c>
      <c r="S114" s="58">
        <f t="shared" si="10"/>
        <v>57.2517406563326</v>
      </c>
    </row>
    <row r="115" spans="1:19" ht="15">
      <c r="A115" s="6">
        <v>112</v>
      </c>
      <c r="B115" s="38" t="s">
        <v>66</v>
      </c>
      <c r="C115" s="6">
        <v>23</v>
      </c>
      <c r="D115" s="38" t="s">
        <v>38</v>
      </c>
      <c r="E115" s="54">
        <v>18</v>
      </c>
      <c r="F115" s="54">
        <v>1970</v>
      </c>
      <c r="G115" s="54">
        <v>821.9</v>
      </c>
      <c r="H115" s="54">
        <v>585.95</v>
      </c>
      <c r="I115" s="54"/>
      <c r="J115" s="55">
        <v>111.56</v>
      </c>
      <c r="K115" s="56">
        <v>106.17</v>
      </c>
      <c r="L115" s="55">
        <v>96.74</v>
      </c>
      <c r="M115" s="57">
        <f>(L115+K115+J115)/3</f>
        <v>104.82333333333334</v>
      </c>
      <c r="N115" s="58">
        <f t="shared" si="11"/>
        <v>178.89467246920952</v>
      </c>
      <c r="O115" s="55">
        <v>29.94</v>
      </c>
      <c r="P115" s="56">
        <v>30.13</v>
      </c>
      <c r="Q115" s="55">
        <v>28.66</v>
      </c>
      <c r="R115" s="57">
        <f t="shared" si="12"/>
        <v>29.576666666666668</v>
      </c>
      <c r="S115" s="58">
        <f t="shared" si="10"/>
        <v>50.476434280513125</v>
      </c>
    </row>
    <row r="116" spans="1:19" ht="15">
      <c r="A116" s="6">
        <v>113</v>
      </c>
      <c r="B116" s="38" t="s">
        <v>66</v>
      </c>
      <c r="C116" s="6">
        <v>25</v>
      </c>
      <c r="D116" s="38" t="s">
        <v>38</v>
      </c>
      <c r="E116" s="54">
        <v>24</v>
      </c>
      <c r="F116" s="54">
        <v>1974</v>
      </c>
      <c r="G116" s="54">
        <v>1621.6</v>
      </c>
      <c r="H116" s="54">
        <v>1127.29</v>
      </c>
      <c r="I116" s="54"/>
      <c r="J116" s="55">
        <v>156.6</v>
      </c>
      <c r="K116" s="56">
        <v>140.66</v>
      </c>
      <c r="L116" s="55">
        <v>116.83</v>
      </c>
      <c r="M116" s="57">
        <f>(L116+K116+J116)/3</f>
        <v>138.03</v>
      </c>
      <c r="N116" s="58">
        <f t="shared" si="11"/>
        <v>122.44409158246769</v>
      </c>
      <c r="O116" s="55">
        <v>64.6</v>
      </c>
      <c r="P116" s="56">
        <v>57.74</v>
      </c>
      <c r="Q116" s="55">
        <v>59.87</v>
      </c>
      <c r="R116" s="57">
        <f t="shared" si="12"/>
        <v>60.73666666666667</v>
      </c>
      <c r="S116" s="58">
        <f t="shared" si="10"/>
        <v>53.87847551798266</v>
      </c>
    </row>
    <row r="117" spans="1:19" ht="15">
      <c r="A117" s="6">
        <v>114</v>
      </c>
      <c r="B117" s="38" t="s">
        <v>67</v>
      </c>
      <c r="C117" s="6">
        <v>17</v>
      </c>
      <c r="D117" s="38" t="s">
        <v>38</v>
      </c>
      <c r="E117" s="54">
        <v>27</v>
      </c>
      <c r="F117" s="54"/>
      <c r="G117" s="59">
        <v>1217</v>
      </c>
      <c r="H117" s="54">
        <v>1202.35</v>
      </c>
      <c r="I117" s="54"/>
      <c r="J117" s="55">
        <v>158.36</v>
      </c>
      <c r="K117" s="56">
        <v>141.36</v>
      </c>
      <c r="L117" s="55">
        <v>126.21</v>
      </c>
      <c r="M117" s="57">
        <f aca="true" t="shared" si="17" ref="M117:M125">(L117+K117+J117)/3</f>
        <v>141.97666666666666</v>
      </c>
      <c r="N117" s="58">
        <f t="shared" si="11"/>
        <v>118.0826437116203</v>
      </c>
      <c r="O117" s="55">
        <v>52.18</v>
      </c>
      <c r="P117" s="56">
        <v>55.3</v>
      </c>
      <c r="Q117" s="55">
        <v>56.5</v>
      </c>
      <c r="R117" s="57">
        <f t="shared" si="12"/>
        <v>54.66</v>
      </c>
      <c r="S117" s="58">
        <f t="shared" si="10"/>
        <v>45.460972262652305</v>
      </c>
    </row>
    <row r="118" spans="1:19" ht="15">
      <c r="A118" s="6">
        <v>115</v>
      </c>
      <c r="B118" s="38" t="s">
        <v>67</v>
      </c>
      <c r="C118" s="6">
        <v>19</v>
      </c>
      <c r="D118" s="38" t="s">
        <v>38</v>
      </c>
      <c r="E118" s="54">
        <v>27</v>
      </c>
      <c r="F118" s="54"/>
      <c r="G118" s="54">
        <v>1776</v>
      </c>
      <c r="H118" s="54">
        <v>1204.69</v>
      </c>
      <c r="I118" s="54"/>
      <c r="J118" s="55">
        <v>176.46</v>
      </c>
      <c r="K118" s="56">
        <v>167.54</v>
      </c>
      <c r="L118" s="55">
        <v>151.34</v>
      </c>
      <c r="M118" s="57">
        <f t="shared" si="17"/>
        <v>165.11333333333334</v>
      </c>
      <c r="N118" s="58">
        <f t="shared" si="11"/>
        <v>137.0587730730174</v>
      </c>
      <c r="O118" s="55">
        <v>60.22</v>
      </c>
      <c r="P118" s="56">
        <v>63.82</v>
      </c>
      <c r="Q118" s="55">
        <v>66.52</v>
      </c>
      <c r="R118" s="57">
        <f t="shared" si="12"/>
        <v>63.52</v>
      </c>
      <c r="S118" s="58">
        <f t="shared" si="10"/>
        <v>52.727257634744205</v>
      </c>
    </row>
    <row r="119" spans="1:19" ht="15">
      <c r="A119" s="6">
        <v>116</v>
      </c>
      <c r="B119" s="38" t="s">
        <v>67</v>
      </c>
      <c r="C119" s="6">
        <v>21</v>
      </c>
      <c r="D119" s="38" t="s">
        <v>38</v>
      </c>
      <c r="E119" s="54">
        <v>22</v>
      </c>
      <c r="F119" s="54"/>
      <c r="G119" s="59">
        <v>1145</v>
      </c>
      <c r="H119" s="54">
        <v>1121.25</v>
      </c>
      <c r="I119" s="54"/>
      <c r="J119" s="55">
        <v>173.72</v>
      </c>
      <c r="K119" s="56">
        <v>161.5</v>
      </c>
      <c r="L119" s="55">
        <v>147.85</v>
      </c>
      <c r="M119" s="57">
        <f t="shared" si="17"/>
        <v>161.02333333333334</v>
      </c>
      <c r="N119" s="58">
        <f t="shared" si="11"/>
        <v>143.61055369751023</v>
      </c>
      <c r="O119" s="55">
        <v>65.4</v>
      </c>
      <c r="P119" s="56">
        <v>69.02</v>
      </c>
      <c r="Q119" s="55">
        <v>68.95</v>
      </c>
      <c r="R119" s="57">
        <f t="shared" si="12"/>
        <v>67.79</v>
      </c>
      <c r="S119" s="58">
        <f t="shared" si="10"/>
        <v>60.459308807134896</v>
      </c>
    </row>
    <row r="120" spans="1:19" ht="15">
      <c r="A120" s="6">
        <v>117</v>
      </c>
      <c r="B120" s="38" t="s">
        <v>67</v>
      </c>
      <c r="C120" s="6">
        <v>23</v>
      </c>
      <c r="D120" s="38" t="s">
        <v>38</v>
      </c>
      <c r="E120" s="54">
        <v>22</v>
      </c>
      <c r="F120" s="54"/>
      <c r="G120" s="59">
        <v>1155</v>
      </c>
      <c r="H120" s="54">
        <v>1123.48</v>
      </c>
      <c r="I120" s="54"/>
      <c r="J120" s="55">
        <v>184.22</v>
      </c>
      <c r="K120" s="56">
        <v>167.96</v>
      </c>
      <c r="L120" s="55">
        <v>147.84</v>
      </c>
      <c r="M120" s="57">
        <f t="shared" si="17"/>
        <v>166.67333333333332</v>
      </c>
      <c r="N120" s="58">
        <f t="shared" si="11"/>
        <v>148.3545175110668</v>
      </c>
      <c r="O120" s="55">
        <v>73.99</v>
      </c>
      <c r="P120" s="56">
        <v>77.23</v>
      </c>
      <c r="Q120" s="55">
        <v>71.34</v>
      </c>
      <c r="R120" s="57">
        <f t="shared" si="12"/>
        <v>74.18666666666667</v>
      </c>
      <c r="S120" s="58">
        <f t="shared" si="10"/>
        <v>66.03292151766534</v>
      </c>
    </row>
    <row r="121" spans="1:19" ht="15">
      <c r="A121" s="6">
        <v>118</v>
      </c>
      <c r="B121" s="38" t="s">
        <v>67</v>
      </c>
      <c r="C121" s="6">
        <v>25</v>
      </c>
      <c r="D121" s="38" t="s">
        <v>38</v>
      </c>
      <c r="E121" s="54">
        <v>22</v>
      </c>
      <c r="F121" s="54"/>
      <c r="G121" s="59">
        <v>1150</v>
      </c>
      <c r="H121" s="54">
        <v>1117.05</v>
      </c>
      <c r="I121" s="54"/>
      <c r="J121" s="55">
        <v>177.82</v>
      </c>
      <c r="K121" s="56">
        <v>176.14</v>
      </c>
      <c r="L121" s="55">
        <v>163.57</v>
      </c>
      <c r="M121" s="57">
        <f t="shared" si="17"/>
        <v>172.51</v>
      </c>
      <c r="N121" s="58">
        <f t="shared" si="11"/>
        <v>154.43355266102682</v>
      </c>
      <c r="O121" s="55">
        <v>67.65</v>
      </c>
      <c r="P121" s="56">
        <v>67.01</v>
      </c>
      <c r="Q121" s="55">
        <v>71.94</v>
      </c>
      <c r="R121" s="57">
        <f t="shared" si="12"/>
        <v>68.86666666666667</v>
      </c>
      <c r="S121" s="58">
        <f t="shared" si="10"/>
        <v>61.650478194052795</v>
      </c>
    </row>
    <row r="122" spans="1:19" ht="15">
      <c r="A122" s="6">
        <v>119</v>
      </c>
      <c r="B122" s="38" t="s">
        <v>67</v>
      </c>
      <c r="C122" s="6">
        <v>27</v>
      </c>
      <c r="D122" s="38" t="s">
        <v>38</v>
      </c>
      <c r="E122" s="54">
        <v>22</v>
      </c>
      <c r="F122" s="54">
        <v>1973</v>
      </c>
      <c r="G122" s="54">
        <v>1557.7</v>
      </c>
      <c r="H122" s="54">
        <v>1056.64</v>
      </c>
      <c r="I122" s="54"/>
      <c r="J122" s="55">
        <v>136.65</v>
      </c>
      <c r="K122" s="56">
        <v>140.78</v>
      </c>
      <c r="L122" s="55">
        <v>122.63</v>
      </c>
      <c r="M122" s="57">
        <f t="shared" si="17"/>
        <v>133.35333333333332</v>
      </c>
      <c r="N122" s="58">
        <f t="shared" si="11"/>
        <v>126.20507773066828</v>
      </c>
      <c r="O122" s="55">
        <v>68.09</v>
      </c>
      <c r="P122" s="56">
        <v>73.58</v>
      </c>
      <c r="Q122" s="55">
        <v>69.89</v>
      </c>
      <c r="R122" s="57">
        <f t="shared" si="12"/>
        <v>70.52</v>
      </c>
      <c r="S122" s="58">
        <f t="shared" si="10"/>
        <v>66.73985463355542</v>
      </c>
    </row>
    <row r="123" spans="1:19" ht="15">
      <c r="A123" s="6">
        <v>120</v>
      </c>
      <c r="B123" s="38" t="s">
        <v>67</v>
      </c>
      <c r="C123" s="6">
        <v>29</v>
      </c>
      <c r="D123" s="38" t="s">
        <v>38</v>
      </c>
      <c r="E123" s="54">
        <v>22</v>
      </c>
      <c r="F123" s="54"/>
      <c r="G123" s="59">
        <v>1145</v>
      </c>
      <c r="H123" s="54">
        <v>1075.2</v>
      </c>
      <c r="I123" s="54"/>
      <c r="J123" s="55">
        <v>133.81</v>
      </c>
      <c r="K123" s="56">
        <v>121.41</v>
      </c>
      <c r="L123" s="55">
        <v>117.67</v>
      </c>
      <c r="M123" s="57">
        <f t="shared" si="17"/>
        <v>124.29666666666667</v>
      </c>
      <c r="N123" s="58">
        <f t="shared" si="11"/>
        <v>115.60329861111111</v>
      </c>
      <c r="O123" s="55">
        <v>56.86</v>
      </c>
      <c r="P123" s="56">
        <v>59.55</v>
      </c>
      <c r="Q123" s="55">
        <v>68.66</v>
      </c>
      <c r="R123" s="57">
        <f t="shared" si="12"/>
        <v>61.69</v>
      </c>
      <c r="S123" s="58">
        <f t="shared" si="10"/>
        <v>57.37537202380952</v>
      </c>
    </row>
    <row r="124" spans="1:19" ht="15">
      <c r="A124" s="6">
        <v>121</v>
      </c>
      <c r="B124" s="38" t="s">
        <v>67</v>
      </c>
      <c r="C124" s="6">
        <v>33</v>
      </c>
      <c r="D124" s="38" t="s">
        <v>38</v>
      </c>
      <c r="E124" s="54">
        <v>18</v>
      </c>
      <c r="F124" s="54">
        <v>1970</v>
      </c>
      <c r="G124" s="54">
        <v>1164.9</v>
      </c>
      <c r="H124" s="54">
        <v>765.58</v>
      </c>
      <c r="I124" s="54"/>
      <c r="J124" s="55">
        <v>109.22</v>
      </c>
      <c r="K124" s="69">
        <v>107.48</v>
      </c>
      <c r="L124" s="70">
        <v>104.6</v>
      </c>
      <c r="M124" s="57">
        <f t="shared" si="17"/>
        <v>107.09999999999998</v>
      </c>
      <c r="N124" s="58">
        <f t="shared" si="11"/>
        <v>139.89393662321373</v>
      </c>
      <c r="O124" s="55">
        <v>34.36</v>
      </c>
      <c r="P124" s="69">
        <v>34.59</v>
      </c>
      <c r="Q124" s="70">
        <v>32.78</v>
      </c>
      <c r="R124" s="57">
        <f t="shared" si="12"/>
        <v>33.910000000000004</v>
      </c>
      <c r="S124" s="58">
        <f t="shared" si="10"/>
        <v>44.2932156012435</v>
      </c>
    </row>
    <row r="125" spans="1:19" ht="15">
      <c r="A125" s="6">
        <v>122</v>
      </c>
      <c r="B125" s="38" t="s">
        <v>67</v>
      </c>
      <c r="C125" s="6" t="s">
        <v>68</v>
      </c>
      <c r="D125" s="38" t="s">
        <v>38</v>
      </c>
      <c r="E125" s="54">
        <v>30</v>
      </c>
      <c r="F125" s="54"/>
      <c r="G125" s="59">
        <v>1430.1</v>
      </c>
      <c r="H125" s="54">
        <f>33.6+1402.75</f>
        <v>1436.35</v>
      </c>
      <c r="I125" s="54"/>
      <c r="J125" s="55">
        <v>163.87</v>
      </c>
      <c r="K125" s="56">
        <f>0.96+169.19</f>
        <v>170.15</v>
      </c>
      <c r="L125" s="55">
        <v>157.49</v>
      </c>
      <c r="M125" s="57">
        <f t="shared" si="17"/>
        <v>163.83666666666667</v>
      </c>
      <c r="N125" s="58">
        <f t="shared" si="11"/>
        <v>114.06458500133442</v>
      </c>
      <c r="O125" s="55">
        <v>71.3</v>
      </c>
      <c r="P125" s="56">
        <f>0.94+68.95</f>
        <v>69.89</v>
      </c>
      <c r="Q125" s="55">
        <v>72.1</v>
      </c>
      <c r="R125" s="57">
        <f t="shared" si="12"/>
        <v>71.09666666666666</v>
      </c>
      <c r="S125" s="58">
        <f t="shared" si="10"/>
        <v>49.49814924403291</v>
      </c>
    </row>
    <row r="126" spans="1:19" ht="15">
      <c r="A126" s="6">
        <v>123</v>
      </c>
      <c r="B126" s="38" t="s">
        <v>69</v>
      </c>
      <c r="C126" s="6">
        <v>1</v>
      </c>
      <c r="D126" s="38" t="s">
        <v>38</v>
      </c>
      <c r="E126" s="71">
        <v>56</v>
      </c>
      <c r="F126" s="54">
        <v>1986</v>
      </c>
      <c r="G126" s="54">
        <v>4332.6</v>
      </c>
      <c r="H126" s="54">
        <f>33.6+2783.1</f>
        <v>2816.7</v>
      </c>
      <c r="I126" s="54"/>
      <c r="J126" s="55">
        <v>350.34</v>
      </c>
      <c r="K126" s="56">
        <f>374.43+1.31</f>
        <v>375.74</v>
      </c>
      <c r="L126" s="55">
        <v>349.25</v>
      </c>
      <c r="M126" s="57">
        <f>(L126+K126+J126)/3</f>
        <v>358.4433333333333</v>
      </c>
      <c r="N126" s="58">
        <f t="shared" si="11"/>
        <v>127.25648217180863</v>
      </c>
      <c r="O126" s="55">
        <v>179.66</v>
      </c>
      <c r="P126" s="56">
        <f>169.4+0.06</f>
        <v>169.46</v>
      </c>
      <c r="Q126" s="55">
        <v>171.89</v>
      </c>
      <c r="R126" s="57">
        <f t="shared" si="12"/>
        <v>173.67</v>
      </c>
      <c r="S126" s="58">
        <f t="shared" si="10"/>
        <v>61.65725849398232</v>
      </c>
    </row>
    <row r="127" spans="1:19" ht="15">
      <c r="A127" s="6">
        <v>124</v>
      </c>
      <c r="B127" s="38" t="s">
        <v>69</v>
      </c>
      <c r="C127" s="6">
        <v>2</v>
      </c>
      <c r="D127" s="38" t="s">
        <v>38</v>
      </c>
      <c r="E127" s="68">
        <v>56</v>
      </c>
      <c r="F127" s="54">
        <v>1983</v>
      </c>
      <c r="G127" s="54">
        <v>3667.6</v>
      </c>
      <c r="H127" s="54">
        <v>2724.89</v>
      </c>
      <c r="I127" s="54"/>
      <c r="J127" s="55">
        <v>362.5</v>
      </c>
      <c r="K127" s="56">
        <v>324.96</v>
      </c>
      <c r="L127" s="55">
        <v>298.79</v>
      </c>
      <c r="M127" s="57">
        <f>(L127+K127+J127)/3</f>
        <v>328.75</v>
      </c>
      <c r="N127" s="58">
        <f t="shared" si="11"/>
        <v>120.64707199189692</v>
      </c>
      <c r="O127" s="55">
        <v>173.5</v>
      </c>
      <c r="P127" s="56">
        <v>185.07</v>
      </c>
      <c r="Q127" s="55">
        <v>183.71</v>
      </c>
      <c r="R127" s="57">
        <f t="shared" si="12"/>
        <v>180.76</v>
      </c>
      <c r="S127" s="58">
        <f t="shared" si="10"/>
        <v>66.33662276275372</v>
      </c>
    </row>
    <row r="128" spans="1:19" ht="15">
      <c r="A128" s="6">
        <v>125</v>
      </c>
      <c r="B128" s="38" t="s">
        <v>69</v>
      </c>
      <c r="C128" s="6">
        <v>4</v>
      </c>
      <c r="D128" s="38" t="s">
        <v>38</v>
      </c>
      <c r="E128" s="68">
        <v>56</v>
      </c>
      <c r="F128" s="54">
        <v>1982</v>
      </c>
      <c r="G128" s="54">
        <v>3687.3</v>
      </c>
      <c r="H128" s="54">
        <v>2731.68</v>
      </c>
      <c r="I128" s="54"/>
      <c r="J128" s="55">
        <v>298.26</v>
      </c>
      <c r="K128" s="56">
        <v>296.92</v>
      </c>
      <c r="L128" s="55">
        <v>273.16</v>
      </c>
      <c r="M128" s="57">
        <f>(L128+K128+J128)/3</f>
        <v>289.44666666666666</v>
      </c>
      <c r="N128" s="58">
        <f t="shared" si="11"/>
        <v>105.9592143540483</v>
      </c>
      <c r="O128" s="55">
        <v>171.74</v>
      </c>
      <c r="P128" s="56">
        <v>178.73</v>
      </c>
      <c r="Q128" s="55">
        <v>171.94</v>
      </c>
      <c r="R128" s="57">
        <f t="shared" si="12"/>
        <v>174.13666666666668</v>
      </c>
      <c r="S128" s="58">
        <f t="shared" si="10"/>
        <v>63.74709580429139</v>
      </c>
    </row>
    <row r="129" spans="1:19" ht="15">
      <c r="A129" s="6">
        <v>126</v>
      </c>
      <c r="B129" s="38" t="s">
        <v>15</v>
      </c>
      <c r="C129" s="6">
        <v>8</v>
      </c>
      <c r="D129" s="38" t="s">
        <v>8</v>
      </c>
      <c r="E129" s="54">
        <v>39</v>
      </c>
      <c r="F129" s="54"/>
      <c r="G129" s="54">
        <v>1262.48</v>
      </c>
      <c r="H129" s="54">
        <v>866.1</v>
      </c>
      <c r="I129" s="54">
        <v>60</v>
      </c>
      <c r="J129" s="61">
        <v>192.49</v>
      </c>
      <c r="K129" s="55">
        <v>161.49</v>
      </c>
      <c r="L129" s="61">
        <v>121.44</v>
      </c>
      <c r="M129" s="57">
        <f aca="true" t="shared" si="18" ref="M129:M134">(L129+K129+J129)/3</f>
        <v>158.47333333333333</v>
      </c>
      <c r="N129" s="58">
        <f t="shared" si="11"/>
        <v>182.97348266174035</v>
      </c>
      <c r="O129" s="61">
        <v>61.88</v>
      </c>
      <c r="P129" s="55">
        <v>58.45</v>
      </c>
      <c r="Q129" s="61">
        <v>55.22</v>
      </c>
      <c r="R129" s="57">
        <f t="shared" si="12"/>
        <v>58.51666666666667</v>
      </c>
      <c r="S129" s="58">
        <f t="shared" si="10"/>
        <v>67.56340684293576</v>
      </c>
    </row>
    <row r="130" spans="1:19" ht="15">
      <c r="A130" s="6">
        <v>127</v>
      </c>
      <c r="B130" s="38" t="s">
        <v>15</v>
      </c>
      <c r="C130" s="6">
        <v>10</v>
      </c>
      <c r="D130" s="38" t="s">
        <v>8</v>
      </c>
      <c r="E130" s="63" t="s">
        <v>111</v>
      </c>
      <c r="F130" s="54">
        <v>1960</v>
      </c>
      <c r="G130" s="54">
        <v>2216.3</v>
      </c>
      <c r="H130" s="54">
        <v>1537.8</v>
      </c>
      <c r="I130" s="54">
        <v>101</v>
      </c>
      <c r="J130" s="61">
        <v>247.94</v>
      </c>
      <c r="K130" s="55">
        <v>257.58</v>
      </c>
      <c r="L130" s="61">
        <v>237.83</v>
      </c>
      <c r="M130" s="57">
        <f t="shared" si="18"/>
        <v>247.7833333333333</v>
      </c>
      <c r="N130" s="58">
        <f t="shared" si="11"/>
        <v>161.12845190098406</v>
      </c>
      <c r="O130" s="61">
        <v>95.95</v>
      </c>
      <c r="P130" s="55">
        <v>84.68</v>
      </c>
      <c r="Q130" s="61">
        <v>66.66</v>
      </c>
      <c r="R130" s="57">
        <f t="shared" si="12"/>
        <v>82.42999999999999</v>
      </c>
      <c r="S130" s="58">
        <f t="shared" si="10"/>
        <v>53.602549096111325</v>
      </c>
    </row>
    <row r="131" spans="1:19" ht="15">
      <c r="A131" s="6">
        <v>128</v>
      </c>
      <c r="B131" s="38" t="s">
        <v>15</v>
      </c>
      <c r="C131" s="6">
        <v>12</v>
      </c>
      <c r="D131" s="38" t="s">
        <v>8</v>
      </c>
      <c r="E131" s="54">
        <v>28</v>
      </c>
      <c r="F131" s="54"/>
      <c r="G131" s="54">
        <v>1618.7</v>
      </c>
      <c r="H131" s="54">
        <v>826.3</v>
      </c>
      <c r="I131" s="54">
        <v>44</v>
      </c>
      <c r="J131" s="61">
        <v>197.63</v>
      </c>
      <c r="K131" s="55">
        <v>192.21</v>
      </c>
      <c r="L131" s="61">
        <v>172.02</v>
      </c>
      <c r="M131" s="57">
        <f t="shared" si="18"/>
        <v>187.28666666666666</v>
      </c>
      <c r="N131" s="58">
        <f t="shared" si="11"/>
        <v>226.65698495300336</v>
      </c>
      <c r="O131" s="61">
        <v>28.25</v>
      </c>
      <c r="P131" s="55">
        <v>27.96</v>
      </c>
      <c r="Q131" s="61">
        <v>30.57</v>
      </c>
      <c r="R131" s="57">
        <f t="shared" si="12"/>
        <v>28.926666666666666</v>
      </c>
      <c r="S131" s="58">
        <f t="shared" si="10"/>
        <v>35.007462987615476</v>
      </c>
    </row>
    <row r="132" spans="1:19" ht="15">
      <c r="A132" s="6">
        <v>129</v>
      </c>
      <c r="B132" s="38" t="s">
        <v>15</v>
      </c>
      <c r="C132" s="6">
        <v>14</v>
      </c>
      <c r="D132" s="38" t="s">
        <v>8</v>
      </c>
      <c r="E132" s="54">
        <v>36</v>
      </c>
      <c r="F132" s="54"/>
      <c r="G132" s="54">
        <v>2277.4</v>
      </c>
      <c r="H132" s="54">
        <v>1722.2</v>
      </c>
      <c r="I132" s="54">
        <v>65</v>
      </c>
      <c r="J132" s="61">
        <v>208.84</v>
      </c>
      <c r="K132" s="55">
        <v>204.53</v>
      </c>
      <c r="L132" s="61">
        <v>184.03</v>
      </c>
      <c r="M132" s="57">
        <f t="shared" si="18"/>
        <v>199.13333333333333</v>
      </c>
      <c r="N132" s="58">
        <f t="shared" si="11"/>
        <v>115.62729841675376</v>
      </c>
      <c r="O132" s="61">
        <v>41.62</v>
      </c>
      <c r="P132" s="55">
        <v>42.75</v>
      </c>
      <c r="Q132" s="61">
        <v>38.94</v>
      </c>
      <c r="R132" s="57">
        <f t="shared" si="12"/>
        <v>41.10333333333333</v>
      </c>
      <c r="S132" s="58">
        <f aca="true" t="shared" si="19" ref="S132:S195">R132/H132*1000</f>
        <v>23.866759571091237</v>
      </c>
    </row>
    <row r="133" spans="1:19" ht="15">
      <c r="A133" s="6">
        <v>130</v>
      </c>
      <c r="B133" s="38" t="s">
        <v>15</v>
      </c>
      <c r="C133" s="6">
        <v>16</v>
      </c>
      <c r="D133" s="38" t="s">
        <v>8</v>
      </c>
      <c r="E133" s="54">
        <v>28</v>
      </c>
      <c r="F133" s="54"/>
      <c r="G133" s="54">
        <v>1594.05</v>
      </c>
      <c r="H133" s="54">
        <v>958.9</v>
      </c>
      <c r="I133" s="54">
        <v>59</v>
      </c>
      <c r="J133" s="60">
        <v>230.79</v>
      </c>
      <c r="K133" s="55">
        <v>220.15</v>
      </c>
      <c r="L133" s="60">
        <v>205.88326606692218</v>
      </c>
      <c r="M133" s="57">
        <f t="shared" si="18"/>
        <v>218.94108868897408</v>
      </c>
      <c r="N133" s="58">
        <f aca="true" t="shared" si="20" ref="N133:N196">M133/H133*1000</f>
        <v>228.32525674103044</v>
      </c>
      <c r="O133" s="60">
        <v>58.51</v>
      </c>
      <c r="P133" s="55">
        <v>52.52</v>
      </c>
      <c r="Q133" s="60">
        <v>54.39673393307796</v>
      </c>
      <c r="R133" s="57">
        <f t="shared" si="12"/>
        <v>55.14224464435932</v>
      </c>
      <c r="S133" s="58">
        <f t="shared" si="19"/>
        <v>57.50573015367538</v>
      </c>
    </row>
    <row r="134" spans="1:19" ht="15">
      <c r="A134" s="6">
        <v>131</v>
      </c>
      <c r="B134" s="38" t="s">
        <v>15</v>
      </c>
      <c r="C134" s="6">
        <v>3</v>
      </c>
      <c r="D134" s="38" t="s">
        <v>38</v>
      </c>
      <c r="E134" s="54">
        <v>36</v>
      </c>
      <c r="F134" s="54"/>
      <c r="G134" s="59">
        <f>92.9+81.7+176.7+2324+14.8</f>
        <v>2690.1000000000004</v>
      </c>
      <c r="H134" s="54">
        <f>14.8+2123.67+97.72</f>
        <v>2236.19</v>
      </c>
      <c r="I134" s="54"/>
      <c r="J134" s="55">
        <f>13.88+5.21+9.92+301.34</f>
        <v>330.34999999999997</v>
      </c>
      <c r="K134" s="56">
        <f>2.11+303.59+9.94+5.64+13.98</f>
        <v>335.26</v>
      </c>
      <c r="L134" s="55">
        <v>308.6</v>
      </c>
      <c r="M134" s="57">
        <f t="shared" si="18"/>
        <v>324.7366666666667</v>
      </c>
      <c r="N134" s="58">
        <f t="shared" si="20"/>
        <v>145.2187276871226</v>
      </c>
      <c r="O134" s="55">
        <f>1.11+0.01+96.41</f>
        <v>97.53</v>
      </c>
      <c r="P134" s="56">
        <f>96.51+1.35</f>
        <v>97.86</v>
      </c>
      <c r="Q134" s="55">
        <v>95.84</v>
      </c>
      <c r="R134" s="57">
        <f aca="true" t="shared" si="21" ref="R134:R197">(O134+P134+Q134)/3</f>
        <v>97.07666666666667</v>
      </c>
      <c r="S134" s="58">
        <f t="shared" si="19"/>
        <v>43.4116361609106</v>
      </c>
    </row>
    <row r="135" spans="1:19" ht="15">
      <c r="A135" s="6">
        <v>132</v>
      </c>
      <c r="B135" s="38" t="s">
        <v>15</v>
      </c>
      <c r="C135" s="6">
        <v>5</v>
      </c>
      <c r="D135" s="38" t="s">
        <v>38</v>
      </c>
      <c r="E135" s="54">
        <v>28</v>
      </c>
      <c r="F135" s="54"/>
      <c r="G135" s="59">
        <f>86.9+2053+44.8</f>
        <v>2184.7000000000003</v>
      </c>
      <c r="H135" s="54">
        <f>121.66+1707.08+44.8</f>
        <v>1873.54</v>
      </c>
      <c r="I135" s="54"/>
      <c r="J135" s="55">
        <f>1.46+14.49+230.59</f>
        <v>246.54</v>
      </c>
      <c r="K135" s="56">
        <f>16.24+228.04+5.98</f>
        <v>250.26</v>
      </c>
      <c r="L135" s="55">
        <v>205.76</v>
      </c>
      <c r="M135" s="57">
        <f aca="true" t="shared" si="22" ref="M135:M156">(L135+K135+J135)/3</f>
        <v>234.18666666666664</v>
      </c>
      <c r="N135" s="58">
        <f t="shared" si="20"/>
        <v>124.99688646448256</v>
      </c>
      <c r="O135" s="55">
        <f>0.48+59.99</f>
        <v>60.47</v>
      </c>
      <c r="P135" s="56">
        <f>0.51+62.67+0.12</f>
        <v>63.3</v>
      </c>
      <c r="Q135" s="55">
        <v>63.43</v>
      </c>
      <c r="R135" s="57">
        <f t="shared" si="21"/>
        <v>62.4</v>
      </c>
      <c r="S135" s="58">
        <f t="shared" si="19"/>
        <v>33.30593422077991</v>
      </c>
    </row>
    <row r="136" spans="1:19" ht="15">
      <c r="A136" s="6">
        <v>133</v>
      </c>
      <c r="B136" s="38" t="s">
        <v>15</v>
      </c>
      <c r="C136" s="6">
        <v>7</v>
      </c>
      <c r="D136" s="38" t="s">
        <v>38</v>
      </c>
      <c r="E136" s="54">
        <v>34</v>
      </c>
      <c r="F136" s="54"/>
      <c r="G136" s="59">
        <f>124.5+144.1+2244+93.3+85.3</f>
        <v>2691.2000000000003</v>
      </c>
      <c r="H136" s="54">
        <f>124.5+1553.47+10.45+103.58</f>
        <v>1792</v>
      </c>
      <c r="I136" s="54"/>
      <c r="J136" s="55">
        <f>1.11+178.56+14.32+11.92</f>
        <v>205.91</v>
      </c>
      <c r="K136" s="56">
        <f>14.44+180.03+1.22+12.01</f>
        <v>207.7</v>
      </c>
      <c r="L136" s="55">
        <v>179.58</v>
      </c>
      <c r="M136" s="57">
        <f t="shared" si="22"/>
        <v>197.73</v>
      </c>
      <c r="N136" s="58">
        <f t="shared" si="20"/>
        <v>110.34040178571428</v>
      </c>
      <c r="O136" s="55">
        <f>1.91+7.77+69.07</f>
        <v>78.75</v>
      </c>
      <c r="P136" s="56">
        <f>1.53+66.69+6.09</f>
        <v>74.31</v>
      </c>
      <c r="Q136" s="55">
        <v>73</v>
      </c>
      <c r="R136" s="57">
        <f t="shared" si="21"/>
        <v>75.35333333333334</v>
      </c>
      <c r="S136" s="58">
        <f t="shared" si="19"/>
        <v>42.0498511904762</v>
      </c>
    </row>
    <row r="137" spans="1:19" ht="15">
      <c r="A137" s="6">
        <v>134</v>
      </c>
      <c r="B137" s="38" t="s">
        <v>15</v>
      </c>
      <c r="C137" s="6">
        <v>9</v>
      </c>
      <c r="D137" s="38" t="s">
        <v>38</v>
      </c>
      <c r="E137" s="54">
        <v>36</v>
      </c>
      <c r="F137" s="54">
        <v>1961</v>
      </c>
      <c r="G137" s="54">
        <v>1847.9</v>
      </c>
      <c r="H137" s="54">
        <f>91.84+151.3+1360.33</f>
        <v>1603.47</v>
      </c>
      <c r="I137" s="54"/>
      <c r="J137" s="55">
        <f>3.71+20.83+184.1</f>
        <v>208.64</v>
      </c>
      <c r="K137" s="56">
        <f>179.72+21.03+12.78</f>
        <v>213.53</v>
      </c>
      <c r="L137" s="55">
        <v>171.54</v>
      </c>
      <c r="M137" s="57">
        <f t="shared" si="22"/>
        <v>197.90333333333334</v>
      </c>
      <c r="N137" s="58">
        <f t="shared" si="20"/>
        <v>123.42191206154985</v>
      </c>
      <c r="O137" s="55">
        <f>0.19+72.91</f>
        <v>73.1</v>
      </c>
      <c r="P137" s="56">
        <f>0.06+64.37</f>
        <v>64.43</v>
      </c>
      <c r="Q137" s="55">
        <v>61.44</v>
      </c>
      <c r="R137" s="57">
        <f t="shared" si="21"/>
        <v>66.32333333333334</v>
      </c>
      <c r="S137" s="58">
        <f t="shared" si="19"/>
        <v>41.362378674582835</v>
      </c>
    </row>
    <row r="138" spans="1:19" ht="15">
      <c r="A138" s="6">
        <v>135</v>
      </c>
      <c r="B138" s="38" t="s">
        <v>15</v>
      </c>
      <c r="C138" s="6">
        <v>13</v>
      </c>
      <c r="D138" s="38" t="s">
        <v>38</v>
      </c>
      <c r="E138" s="54">
        <v>20</v>
      </c>
      <c r="F138" s="54"/>
      <c r="G138" s="59">
        <f>1062+243.7+50+53.9+54.2</f>
        <v>1463.8000000000002</v>
      </c>
      <c r="H138" s="54">
        <f>943.72+315.42+62.92+53.9+54.2</f>
        <v>1430.1600000000003</v>
      </c>
      <c r="I138" s="54"/>
      <c r="J138" s="55">
        <f>7.7+7.65+8.95+44.8+133.37</f>
        <v>202.47</v>
      </c>
      <c r="K138" s="56">
        <f>131.726+44+8.78+7.52+7.57</f>
        <v>199.596</v>
      </c>
      <c r="L138" s="55">
        <v>187.14</v>
      </c>
      <c r="M138" s="57">
        <f t="shared" si="22"/>
        <v>196.40200000000002</v>
      </c>
      <c r="N138" s="58">
        <f t="shared" si="20"/>
        <v>137.32869049616824</v>
      </c>
      <c r="O138" s="55">
        <f>0.2+0.46+0.95+37.04</f>
        <v>38.65</v>
      </c>
      <c r="P138" s="56">
        <f>38.72+0.96+0.432+0.19</f>
        <v>40.302</v>
      </c>
      <c r="Q138" s="55">
        <v>37.37</v>
      </c>
      <c r="R138" s="57">
        <f t="shared" si="21"/>
        <v>38.774</v>
      </c>
      <c r="S138" s="58">
        <f t="shared" si="19"/>
        <v>27.111651843150412</v>
      </c>
    </row>
    <row r="139" spans="1:19" ht="15">
      <c r="A139" s="6">
        <v>136</v>
      </c>
      <c r="B139" s="38" t="s">
        <v>15</v>
      </c>
      <c r="C139" s="6">
        <v>15</v>
      </c>
      <c r="D139" s="38" t="s">
        <v>38</v>
      </c>
      <c r="E139" s="72" t="s">
        <v>116</v>
      </c>
      <c r="F139" s="54"/>
      <c r="G139" s="59">
        <f>29.1+196+997.6+21.08+31.6+34.9</f>
        <v>1310.28</v>
      </c>
      <c r="H139" s="54">
        <f>29.1+196+812.23+21.08+31.6+34.9</f>
        <v>1124.9099999999999</v>
      </c>
      <c r="I139" s="54"/>
      <c r="J139" s="55">
        <f>5.68+4.83+31.93+132.27+4.74+3.41</f>
        <v>182.86</v>
      </c>
      <c r="K139" s="56">
        <f>4.42+29.69+123.1+3.17+4.79+5.28</f>
        <v>170.44999999999996</v>
      </c>
      <c r="L139" s="55">
        <v>155.46</v>
      </c>
      <c r="M139" s="57">
        <f t="shared" si="22"/>
        <v>169.59</v>
      </c>
      <c r="N139" s="58">
        <f t="shared" si="20"/>
        <v>150.75872736485587</v>
      </c>
      <c r="O139" s="55">
        <f>37.94</f>
        <v>37.94</v>
      </c>
      <c r="P139" s="56">
        <v>42.2</v>
      </c>
      <c r="Q139" s="55">
        <v>43.6</v>
      </c>
      <c r="R139" s="57">
        <f t="shared" si="21"/>
        <v>41.24666666666667</v>
      </c>
      <c r="S139" s="58">
        <f t="shared" si="19"/>
        <v>36.666637034666486</v>
      </c>
    </row>
    <row r="140" spans="1:19" ht="15">
      <c r="A140" s="6">
        <v>137</v>
      </c>
      <c r="B140" s="38" t="s">
        <v>15</v>
      </c>
      <c r="C140" s="6">
        <v>18</v>
      </c>
      <c r="D140" s="38" t="s">
        <v>38</v>
      </c>
      <c r="E140" s="54">
        <v>18</v>
      </c>
      <c r="F140" s="54">
        <v>1959</v>
      </c>
      <c r="G140" s="54">
        <v>1794.5</v>
      </c>
      <c r="H140" s="54">
        <f>104.2+232.12+819.94+103.18</f>
        <v>1259.44</v>
      </c>
      <c r="I140" s="54"/>
      <c r="J140" s="55">
        <f>12.99+13.42+106.51+33.25</f>
        <v>166.17000000000002</v>
      </c>
      <c r="K140" s="56">
        <f>12.34+27.49+103.52+12.22</f>
        <v>155.57</v>
      </c>
      <c r="L140" s="55">
        <v>159.76</v>
      </c>
      <c r="M140" s="57">
        <f t="shared" si="22"/>
        <v>160.5</v>
      </c>
      <c r="N140" s="58">
        <f t="shared" si="20"/>
        <v>127.43759131042367</v>
      </c>
      <c r="O140" s="55">
        <f>53.17+3.15</f>
        <v>56.32</v>
      </c>
      <c r="P140" s="56">
        <f>1.556+51.34</f>
        <v>52.896</v>
      </c>
      <c r="Q140" s="55">
        <v>48.76</v>
      </c>
      <c r="R140" s="57">
        <f t="shared" si="21"/>
        <v>52.65866666666667</v>
      </c>
      <c r="S140" s="58">
        <f t="shared" si="19"/>
        <v>41.811175337186896</v>
      </c>
    </row>
    <row r="141" spans="1:19" ht="15">
      <c r="A141" s="6">
        <v>138</v>
      </c>
      <c r="B141" s="38" t="s">
        <v>15</v>
      </c>
      <c r="C141" s="6">
        <v>20</v>
      </c>
      <c r="D141" s="38" t="s">
        <v>38</v>
      </c>
      <c r="E141" s="54">
        <v>21</v>
      </c>
      <c r="F141" s="54"/>
      <c r="G141" s="59">
        <f>132.8+1255</f>
        <v>1387.8</v>
      </c>
      <c r="H141" s="54">
        <f>185.92+1220.52</f>
        <v>1406.44</v>
      </c>
      <c r="I141" s="54"/>
      <c r="J141" s="55">
        <f>128.95+19.66</f>
        <v>148.60999999999999</v>
      </c>
      <c r="K141" s="56">
        <f>18.24+119.65</f>
        <v>137.89000000000001</v>
      </c>
      <c r="L141" s="55">
        <v>119.39</v>
      </c>
      <c r="M141" s="57">
        <f t="shared" si="22"/>
        <v>135.29666666666665</v>
      </c>
      <c r="N141" s="58">
        <f t="shared" si="20"/>
        <v>96.197965548951</v>
      </c>
      <c r="O141" s="55">
        <f>86.72+0.4</f>
        <v>87.12</v>
      </c>
      <c r="P141" s="56">
        <v>77.98</v>
      </c>
      <c r="Q141" s="55">
        <v>75.45</v>
      </c>
      <c r="R141" s="57">
        <f t="shared" si="21"/>
        <v>80.18333333333334</v>
      </c>
      <c r="S141" s="58">
        <f t="shared" si="19"/>
        <v>57.01155636453267</v>
      </c>
    </row>
    <row r="142" spans="1:19" ht="15">
      <c r="A142" s="6">
        <v>139</v>
      </c>
      <c r="B142" s="38" t="s">
        <v>15</v>
      </c>
      <c r="C142" s="6">
        <v>21</v>
      </c>
      <c r="D142" s="38" t="s">
        <v>38</v>
      </c>
      <c r="E142" s="72">
        <v>39</v>
      </c>
      <c r="F142" s="54"/>
      <c r="G142" s="59">
        <f>1510+217.3</f>
        <v>1727.3</v>
      </c>
      <c r="H142" s="54">
        <f>1488.91+304.2</f>
        <v>1793.1100000000001</v>
      </c>
      <c r="I142" s="54"/>
      <c r="J142" s="55">
        <f>194.92+39.82</f>
        <v>234.73999999999998</v>
      </c>
      <c r="K142" s="56">
        <f>192.68+39.3</f>
        <v>231.98000000000002</v>
      </c>
      <c r="L142" s="55">
        <v>217.81</v>
      </c>
      <c r="M142" s="57">
        <f t="shared" si="22"/>
        <v>228.17666666666665</v>
      </c>
      <c r="N142" s="58">
        <f t="shared" si="20"/>
        <v>127.25190683598142</v>
      </c>
      <c r="O142" s="55">
        <f>69.5+0.46</f>
        <v>69.96</v>
      </c>
      <c r="P142" s="56">
        <f>61.05+0.18</f>
        <v>61.23</v>
      </c>
      <c r="Q142" s="55">
        <v>53.09</v>
      </c>
      <c r="R142" s="57">
        <f t="shared" si="21"/>
        <v>61.42666666666667</v>
      </c>
      <c r="S142" s="58">
        <f t="shared" si="19"/>
        <v>34.25705431717333</v>
      </c>
    </row>
    <row r="143" spans="1:19" ht="15">
      <c r="A143" s="6">
        <v>140</v>
      </c>
      <c r="B143" s="38" t="s">
        <v>15</v>
      </c>
      <c r="C143" s="6">
        <v>22</v>
      </c>
      <c r="D143" s="38" t="s">
        <v>38</v>
      </c>
      <c r="E143" s="54">
        <v>20</v>
      </c>
      <c r="F143" s="54"/>
      <c r="G143" s="59">
        <f>72.4+1281</f>
        <v>1353.4</v>
      </c>
      <c r="H143" s="54">
        <f>86.96+1062.2</f>
        <v>1149.16</v>
      </c>
      <c r="I143" s="54"/>
      <c r="J143" s="55">
        <v>134.89</v>
      </c>
      <c r="K143" s="56">
        <f>122.96+3.95</f>
        <v>126.91</v>
      </c>
      <c r="L143" s="55">
        <v>118.04</v>
      </c>
      <c r="M143" s="57">
        <f t="shared" si="22"/>
        <v>126.61333333333333</v>
      </c>
      <c r="N143" s="58">
        <f t="shared" si="20"/>
        <v>110.17902931996704</v>
      </c>
      <c r="O143" s="55">
        <v>73.78</v>
      </c>
      <c r="P143" s="56">
        <f>64.23+0.82</f>
        <v>65.05</v>
      </c>
      <c r="Q143" s="55">
        <v>65.09</v>
      </c>
      <c r="R143" s="57">
        <f t="shared" si="21"/>
        <v>67.97333333333333</v>
      </c>
      <c r="S143" s="58">
        <f t="shared" si="19"/>
        <v>59.15045192430412</v>
      </c>
    </row>
    <row r="144" spans="1:19" ht="15">
      <c r="A144" s="6">
        <v>141</v>
      </c>
      <c r="B144" s="38" t="s">
        <v>15</v>
      </c>
      <c r="C144" s="6">
        <v>23</v>
      </c>
      <c r="D144" s="38" t="s">
        <v>38</v>
      </c>
      <c r="E144" s="54">
        <v>40</v>
      </c>
      <c r="F144" s="54"/>
      <c r="G144" s="59">
        <v>1511</v>
      </c>
      <c r="H144" s="54">
        <v>1404.74</v>
      </c>
      <c r="I144" s="54"/>
      <c r="J144" s="55">
        <v>207.88</v>
      </c>
      <c r="K144" s="56">
        <v>199.93</v>
      </c>
      <c r="L144" s="55">
        <v>167.09</v>
      </c>
      <c r="M144" s="57">
        <f t="shared" si="22"/>
        <v>191.63333333333333</v>
      </c>
      <c r="N144" s="58">
        <f t="shared" si="20"/>
        <v>136.41907636525858</v>
      </c>
      <c r="O144" s="55">
        <v>54.32</v>
      </c>
      <c r="P144" s="56">
        <v>50.22</v>
      </c>
      <c r="Q144" s="55">
        <v>44.3</v>
      </c>
      <c r="R144" s="57">
        <f t="shared" si="21"/>
        <v>49.61333333333332</v>
      </c>
      <c r="S144" s="58">
        <f t="shared" si="19"/>
        <v>35.3185168311099</v>
      </c>
    </row>
    <row r="145" spans="1:19" ht="15">
      <c r="A145" s="6">
        <v>142</v>
      </c>
      <c r="B145" s="38" t="s">
        <v>15</v>
      </c>
      <c r="C145" s="6">
        <v>24</v>
      </c>
      <c r="D145" s="38" t="s">
        <v>38</v>
      </c>
      <c r="E145" s="54">
        <v>40</v>
      </c>
      <c r="F145" s="54">
        <v>1972</v>
      </c>
      <c r="G145" s="54">
        <v>1979.1</v>
      </c>
      <c r="H145" s="54">
        <v>1521.95</v>
      </c>
      <c r="I145" s="54"/>
      <c r="J145" s="55">
        <v>221.51</v>
      </c>
      <c r="K145" s="56">
        <v>219.22</v>
      </c>
      <c r="L145" s="55">
        <v>202.81</v>
      </c>
      <c r="M145" s="57">
        <f t="shared" si="22"/>
        <v>214.51333333333332</v>
      </c>
      <c r="N145" s="58">
        <f t="shared" si="20"/>
        <v>140.94637362156004</v>
      </c>
      <c r="O145" s="55">
        <v>73.65</v>
      </c>
      <c r="P145" s="56">
        <v>66.48</v>
      </c>
      <c r="Q145" s="55">
        <v>54.69</v>
      </c>
      <c r="R145" s="57">
        <f t="shared" si="21"/>
        <v>64.94</v>
      </c>
      <c r="S145" s="58">
        <f t="shared" si="19"/>
        <v>42.668944446269585</v>
      </c>
    </row>
    <row r="146" spans="1:19" ht="15">
      <c r="A146" s="6">
        <v>143</v>
      </c>
      <c r="B146" s="38" t="s">
        <v>15</v>
      </c>
      <c r="C146" s="6">
        <v>25</v>
      </c>
      <c r="D146" s="38" t="s">
        <v>38</v>
      </c>
      <c r="E146" s="54">
        <v>39</v>
      </c>
      <c r="F146" s="54">
        <v>1964</v>
      </c>
      <c r="G146" s="54">
        <v>1990.5</v>
      </c>
      <c r="H146" s="54">
        <v>1478.64</v>
      </c>
      <c r="I146" s="54"/>
      <c r="J146" s="55">
        <v>200.09</v>
      </c>
      <c r="K146" s="56">
        <v>188.36</v>
      </c>
      <c r="L146" s="55">
        <v>171.85</v>
      </c>
      <c r="M146" s="57">
        <f t="shared" si="22"/>
        <v>186.76666666666668</v>
      </c>
      <c r="N146" s="58">
        <f t="shared" si="20"/>
        <v>126.30976212375336</v>
      </c>
      <c r="O146" s="55">
        <v>64.16</v>
      </c>
      <c r="P146" s="56">
        <v>67.29</v>
      </c>
      <c r="Q146" s="55">
        <v>62.48</v>
      </c>
      <c r="R146" s="57">
        <f t="shared" si="21"/>
        <v>64.64333333333333</v>
      </c>
      <c r="S146" s="58">
        <f t="shared" si="19"/>
        <v>43.71810131832854</v>
      </c>
    </row>
    <row r="147" spans="1:19" ht="15">
      <c r="A147" s="6">
        <v>144</v>
      </c>
      <c r="B147" s="38" t="s">
        <v>15</v>
      </c>
      <c r="C147" s="6">
        <v>26</v>
      </c>
      <c r="D147" s="38" t="s">
        <v>38</v>
      </c>
      <c r="E147" s="54">
        <v>40</v>
      </c>
      <c r="F147" s="54">
        <v>1972</v>
      </c>
      <c r="G147" s="59">
        <v>1981.3</v>
      </c>
      <c r="H147" s="54">
        <v>1524.4</v>
      </c>
      <c r="I147" s="54"/>
      <c r="J147" s="55">
        <v>233.88</v>
      </c>
      <c r="K147" s="56">
        <v>244.97</v>
      </c>
      <c r="L147" s="55">
        <v>211.96</v>
      </c>
      <c r="M147" s="57">
        <f t="shared" si="22"/>
        <v>230.26999999999998</v>
      </c>
      <c r="N147" s="58">
        <f t="shared" si="20"/>
        <v>151.05615324061924</v>
      </c>
      <c r="O147" s="55">
        <v>71.62</v>
      </c>
      <c r="P147" s="56">
        <v>70.63</v>
      </c>
      <c r="Q147" s="55">
        <v>70.94</v>
      </c>
      <c r="R147" s="57">
        <f t="shared" si="21"/>
        <v>71.06333333333333</v>
      </c>
      <c r="S147" s="58">
        <f t="shared" si="19"/>
        <v>46.61724831627744</v>
      </c>
    </row>
    <row r="148" spans="1:19" ht="21" customHeight="1">
      <c r="A148" s="6">
        <v>145</v>
      </c>
      <c r="B148" s="38" t="s">
        <v>15</v>
      </c>
      <c r="C148" s="6">
        <v>27</v>
      </c>
      <c r="D148" s="38" t="s">
        <v>38</v>
      </c>
      <c r="E148" s="54">
        <v>44</v>
      </c>
      <c r="F148" s="54">
        <v>1964</v>
      </c>
      <c r="G148" s="54">
        <v>2391.7</v>
      </c>
      <c r="H148" s="54">
        <v>1712.33</v>
      </c>
      <c r="I148" s="54"/>
      <c r="J148" s="55">
        <v>221.9</v>
      </c>
      <c r="K148" s="56">
        <v>237.85</v>
      </c>
      <c r="L148" s="55">
        <v>207.46</v>
      </c>
      <c r="M148" s="57">
        <f t="shared" si="22"/>
        <v>222.40333333333334</v>
      </c>
      <c r="N148" s="58">
        <f t="shared" si="20"/>
        <v>129.8834531505804</v>
      </c>
      <c r="O148" s="55">
        <v>79.98</v>
      </c>
      <c r="P148" s="56">
        <v>76.36</v>
      </c>
      <c r="Q148" s="55">
        <v>63.82</v>
      </c>
      <c r="R148" s="57">
        <f t="shared" si="21"/>
        <v>73.38666666666667</v>
      </c>
      <c r="S148" s="58">
        <f t="shared" si="19"/>
        <v>42.857782475729955</v>
      </c>
    </row>
    <row r="149" spans="1:19" ht="15">
      <c r="A149" s="6">
        <v>146</v>
      </c>
      <c r="B149" s="38" t="s">
        <v>15</v>
      </c>
      <c r="C149" s="6">
        <v>28</v>
      </c>
      <c r="D149" s="38" t="s">
        <v>38</v>
      </c>
      <c r="E149" s="54">
        <v>40</v>
      </c>
      <c r="F149" s="54">
        <v>1972</v>
      </c>
      <c r="G149" s="54">
        <v>1985.4</v>
      </c>
      <c r="H149" s="54">
        <v>1525.85</v>
      </c>
      <c r="I149" s="54"/>
      <c r="J149" s="55">
        <v>226.34</v>
      </c>
      <c r="K149" s="56">
        <v>233.88</v>
      </c>
      <c r="L149" s="55">
        <v>226.38</v>
      </c>
      <c r="M149" s="57">
        <f t="shared" si="22"/>
        <v>228.86666666666667</v>
      </c>
      <c r="N149" s="58">
        <f t="shared" si="20"/>
        <v>149.9929001321668</v>
      </c>
      <c r="O149" s="55">
        <v>77.34</v>
      </c>
      <c r="P149" s="56">
        <v>74.32</v>
      </c>
      <c r="Q149" s="55">
        <v>71.22</v>
      </c>
      <c r="R149" s="57">
        <f t="shared" si="21"/>
        <v>74.29333333333334</v>
      </c>
      <c r="S149" s="58">
        <f t="shared" si="19"/>
        <v>48.68980131292941</v>
      </c>
    </row>
    <row r="150" spans="1:19" ht="15">
      <c r="A150" s="6">
        <v>147</v>
      </c>
      <c r="B150" s="38" t="s">
        <v>15</v>
      </c>
      <c r="C150" s="6">
        <v>30</v>
      </c>
      <c r="D150" s="38" t="s">
        <v>38</v>
      </c>
      <c r="E150" s="54">
        <v>45</v>
      </c>
      <c r="F150" s="54"/>
      <c r="G150" s="59">
        <f>1954+229.8</f>
        <v>2183.8</v>
      </c>
      <c r="H150" s="54">
        <f>1928.6+102.8</f>
        <v>2031.3999999999999</v>
      </c>
      <c r="I150" s="54"/>
      <c r="J150" s="55">
        <f>15.2+284.84</f>
        <v>300.03999999999996</v>
      </c>
      <c r="K150" s="56">
        <f>13.01+244.12</f>
        <v>257.13</v>
      </c>
      <c r="L150" s="55">
        <v>229.35</v>
      </c>
      <c r="M150" s="57">
        <f t="shared" si="22"/>
        <v>262.17333333333335</v>
      </c>
      <c r="N150" s="58">
        <f t="shared" si="20"/>
        <v>129.06041810245807</v>
      </c>
      <c r="O150" s="55">
        <f>0.53+104.23</f>
        <v>104.76</v>
      </c>
      <c r="P150" s="56">
        <f>90.68+24.49</f>
        <v>115.17</v>
      </c>
      <c r="Q150" s="55">
        <v>96.9</v>
      </c>
      <c r="R150" s="57">
        <f t="shared" si="21"/>
        <v>105.61000000000001</v>
      </c>
      <c r="S150" s="58">
        <f t="shared" si="19"/>
        <v>51.988776213448865</v>
      </c>
    </row>
    <row r="151" spans="1:19" ht="15">
      <c r="A151" s="6">
        <v>148</v>
      </c>
      <c r="B151" s="38" t="s">
        <v>15</v>
      </c>
      <c r="C151" s="6">
        <v>32</v>
      </c>
      <c r="D151" s="38" t="s">
        <v>38</v>
      </c>
      <c r="E151" s="54">
        <v>92</v>
      </c>
      <c r="F151" s="54">
        <v>1966</v>
      </c>
      <c r="G151" s="54">
        <v>2632.2</v>
      </c>
      <c r="H151" s="54">
        <f>1770.35+218.96+54.74+40.2+57.4</f>
        <v>2141.65</v>
      </c>
      <c r="I151" s="54"/>
      <c r="J151" s="55">
        <f>7.07+4.19+34.92+217.85</f>
        <v>264.03</v>
      </c>
      <c r="K151" s="56">
        <f>6+1.28+6.17+23.06+185.051</f>
        <v>221.56099999999998</v>
      </c>
      <c r="L151" s="55">
        <v>36.39</v>
      </c>
      <c r="M151" s="57">
        <f t="shared" si="22"/>
        <v>173.99366666666666</v>
      </c>
      <c r="N151" s="58">
        <f t="shared" si="20"/>
        <v>81.24281122810294</v>
      </c>
      <c r="O151" s="55">
        <f>1.95+0.84+1.09+96.43</f>
        <v>100.31</v>
      </c>
      <c r="P151" s="56">
        <f>84.4+1.1+0.57+0.039+0.23</f>
        <v>86.339</v>
      </c>
      <c r="Q151" s="55">
        <v>2.58</v>
      </c>
      <c r="R151" s="57">
        <f t="shared" si="21"/>
        <v>63.07633333333334</v>
      </c>
      <c r="S151" s="58">
        <f t="shared" si="19"/>
        <v>29.45221363590378</v>
      </c>
    </row>
    <row r="152" spans="1:19" ht="15">
      <c r="A152" s="6">
        <v>149</v>
      </c>
      <c r="B152" s="38" t="s">
        <v>15</v>
      </c>
      <c r="C152" s="6">
        <v>34</v>
      </c>
      <c r="D152" s="38" t="s">
        <v>38</v>
      </c>
      <c r="E152" s="54">
        <v>46</v>
      </c>
      <c r="F152" s="54">
        <v>1966</v>
      </c>
      <c r="G152" s="54">
        <v>2571.5</v>
      </c>
      <c r="H152" s="54">
        <f>182.54+1894+58.8</f>
        <v>2135.34</v>
      </c>
      <c r="I152" s="54"/>
      <c r="J152" s="55">
        <f>245.13+7.64+23.68</f>
        <v>276.45</v>
      </c>
      <c r="K152" s="56">
        <f>24.37+252.8+7.84</f>
        <v>285.01</v>
      </c>
      <c r="L152" s="55">
        <v>261.13</v>
      </c>
      <c r="M152" s="57">
        <f t="shared" si="22"/>
        <v>274.19666666666666</v>
      </c>
      <c r="N152" s="58">
        <f t="shared" si="20"/>
        <v>128.4089028757325</v>
      </c>
      <c r="O152" s="55">
        <f>97.47+0.42+0.93</f>
        <v>98.82000000000001</v>
      </c>
      <c r="P152" s="56">
        <f>0.7+86.96+0.63</f>
        <v>88.28999999999999</v>
      </c>
      <c r="Q152" s="55">
        <v>90.49</v>
      </c>
      <c r="R152" s="57">
        <f t="shared" si="21"/>
        <v>92.53333333333335</v>
      </c>
      <c r="S152" s="58">
        <f t="shared" si="19"/>
        <v>43.334238731693</v>
      </c>
    </row>
    <row r="153" spans="1:19" ht="15">
      <c r="A153" s="6">
        <v>150</v>
      </c>
      <c r="B153" s="38" t="s">
        <v>15</v>
      </c>
      <c r="C153" s="6">
        <v>36</v>
      </c>
      <c r="D153" s="38" t="s">
        <v>38</v>
      </c>
      <c r="E153" s="54">
        <v>97</v>
      </c>
      <c r="F153" s="54"/>
      <c r="G153" s="59">
        <f>123.2+107.2+132+1855</f>
        <v>2217.4</v>
      </c>
      <c r="H153" s="54">
        <f>1855.2+184.8+107.16+8.85</f>
        <v>2156.0099999999998</v>
      </c>
      <c r="I153" s="54"/>
      <c r="J153" s="55">
        <f>0.66+10.86+24.73+248.4</f>
        <v>284.65</v>
      </c>
      <c r="K153" s="56">
        <f>254.61+25.38+11.97+1.21</f>
        <v>293.17</v>
      </c>
      <c r="L153" s="55">
        <v>300.51</v>
      </c>
      <c r="M153" s="57">
        <f t="shared" si="22"/>
        <v>292.7766666666667</v>
      </c>
      <c r="N153" s="58">
        <f t="shared" si="20"/>
        <v>135.7955977322307</v>
      </c>
      <c r="O153" s="55">
        <f>0.26+1.03+87.75</f>
        <v>89.04</v>
      </c>
      <c r="P153" s="56">
        <f>89.68+0.93+0.42</f>
        <v>91.03000000000002</v>
      </c>
      <c r="Q153" s="55">
        <v>96.33</v>
      </c>
      <c r="R153" s="57">
        <f t="shared" si="21"/>
        <v>92.13333333333334</v>
      </c>
      <c r="S153" s="58">
        <f t="shared" si="19"/>
        <v>42.7332588129616</v>
      </c>
    </row>
    <row r="154" spans="1:19" ht="15">
      <c r="A154" s="6">
        <v>151</v>
      </c>
      <c r="B154" s="38" t="s">
        <v>15</v>
      </c>
      <c r="C154" s="6">
        <v>37</v>
      </c>
      <c r="D154" s="38" t="s">
        <v>38</v>
      </c>
      <c r="E154" s="54">
        <v>71</v>
      </c>
      <c r="F154" s="54">
        <v>1977</v>
      </c>
      <c r="G154" s="59">
        <v>4803</v>
      </c>
      <c r="H154" s="54">
        <f>1749.46+1797.5</f>
        <v>3546.96</v>
      </c>
      <c r="I154" s="54"/>
      <c r="J154" s="55">
        <f>307.86+259.28</f>
        <v>567.14</v>
      </c>
      <c r="K154" s="56">
        <f>319.05+306.51</f>
        <v>625.56</v>
      </c>
      <c r="L154" s="55">
        <v>491.75</v>
      </c>
      <c r="M154" s="57">
        <f t="shared" si="22"/>
        <v>561.4833333333332</v>
      </c>
      <c r="N154" s="58">
        <f t="shared" si="20"/>
        <v>158.29987745374441</v>
      </c>
      <c r="O154" s="55">
        <f>92.89+96.24</f>
        <v>189.13</v>
      </c>
      <c r="P154" s="56">
        <f>104.5+92.19</f>
        <v>196.69</v>
      </c>
      <c r="Q154" s="55">
        <v>218.49</v>
      </c>
      <c r="R154" s="57">
        <f t="shared" si="21"/>
        <v>201.43666666666664</v>
      </c>
      <c r="S154" s="58">
        <f t="shared" si="19"/>
        <v>56.79135560216823</v>
      </c>
    </row>
    <row r="155" spans="1:19" ht="15">
      <c r="A155" s="6">
        <v>152</v>
      </c>
      <c r="B155" s="38" t="s">
        <v>15</v>
      </c>
      <c r="C155" s="6">
        <v>39</v>
      </c>
      <c r="D155" s="38" t="s">
        <v>38</v>
      </c>
      <c r="E155" s="54"/>
      <c r="F155" s="54"/>
      <c r="G155" s="59">
        <v>335</v>
      </c>
      <c r="H155" s="54">
        <v>335</v>
      </c>
      <c r="I155" s="54"/>
      <c r="J155" s="55">
        <v>54.66</v>
      </c>
      <c r="K155" s="56">
        <v>58.18</v>
      </c>
      <c r="L155" s="55">
        <v>56.17</v>
      </c>
      <c r="M155" s="57">
        <f t="shared" si="22"/>
        <v>56.336666666666666</v>
      </c>
      <c r="N155" s="58">
        <f t="shared" si="20"/>
        <v>168.16915422885572</v>
      </c>
      <c r="O155" s="55">
        <v>21.84</v>
      </c>
      <c r="P155" s="56">
        <v>19.42</v>
      </c>
      <c r="Q155" s="55">
        <v>21.13</v>
      </c>
      <c r="R155" s="57">
        <f t="shared" si="21"/>
        <v>20.796666666666667</v>
      </c>
      <c r="S155" s="58">
        <f t="shared" si="19"/>
        <v>62.079601990049746</v>
      </c>
    </row>
    <row r="156" spans="1:19" ht="15">
      <c r="A156" s="6">
        <v>153</v>
      </c>
      <c r="B156" s="38" t="s">
        <v>15</v>
      </c>
      <c r="C156" s="6">
        <v>41</v>
      </c>
      <c r="D156" s="38" t="s">
        <v>38</v>
      </c>
      <c r="E156" s="54"/>
      <c r="F156" s="54">
        <v>1960</v>
      </c>
      <c r="G156" s="54">
        <v>338.3</v>
      </c>
      <c r="H156" s="54">
        <v>246.3</v>
      </c>
      <c r="I156" s="54"/>
      <c r="J156" s="55">
        <v>43.65</v>
      </c>
      <c r="K156" s="56">
        <v>42.87</v>
      </c>
      <c r="L156" s="55">
        <v>38.52</v>
      </c>
      <c r="M156" s="57">
        <f t="shared" si="22"/>
        <v>41.68</v>
      </c>
      <c r="N156" s="58">
        <f t="shared" si="20"/>
        <v>169.22452293950465</v>
      </c>
      <c r="O156" s="55">
        <v>11.91</v>
      </c>
      <c r="P156" s="56">
        <v>16.33</v>
      </c>
      <c r="Q156" s="55">
        <v>15.08</v>
      </c>
      <c r="R156" s="57">
        <f t="shared" si="21"/>
        <v>14.44</v>
      </c>
      <c r="S156" s="58">
        <f t="shared" si="19"/>
        <v>58.6276898091758</v>
      </c>
    </row>
    <row r="157" spans="1:19" ht="26.25">
      <c r="A157" s="6">
        <v>154</v>
      </c>
      <c r="B157" s="38" t="s">
        <v>70</v>
      </c>
      <c r="C157" s="6">
        <v>1</v>
      </c>
      <c r="D157" s="38" t="s">
        <v>38</v>
      </c>
      <c r="E157" s="54">
        <v>72</v>
      </c>
      <c r="F157" s="54">
        <v>1979</v>
      </c>
      <c r="G157" s="54">
        <v>4634.2</v>
      </c>
      <c r="H157" s="54">
        <f>1673.4+1831.32</f>
        <v>3504.7200000000003</v>
      </c>
      <c r="I157" s="54"/>
      <c r="J157" s="55">
        <f>238.63+214.22</f>
        <v>452.85</v>
      </c>
      <c r="K157" s="56">
        <f>221.05+213.96</f>
        <v>435.01</v>
      </c>
      <c r="L157" s="55">
        <v>395.25</v>
      </c>
      <c r="M157" s="57">
        <f aca="true" t="shared" si="23" ref="M157:M173">(L157+K157+J157)/3</f>
        <v>427.7033333333334</v>
      </c>
      <c r="N157" s="58">
        <f t="shared" si="20"/>
        <v>122.03637760886271</v>
      </c>
      <c r="O157" s="55">
        <f>119.82+114.44</f>
        <v>234.26</v>
      </c>
      <c r="P157" s="56">
        <f>115.76+122.1</f>
        <v>237.86</v>
      </c>
      <c r="Q157" s="55">
        <v>197.16</v>
      </c>
      <c r="R157" s="57">
        <f t="shared" si="21"/>
        <v>223.09333333333333</v>
      </c>
      <c r="S157" s="58">
        <f t="shared" si="19"/>
        <v>63.65510891978056</v>
      </c>
    </row>
    <row r="158" spans="1:19" ht="26.25">
      <c r="A158" s="6">
        <v>155</v>
      </c>
      <c r="B158" s="38" t="s">
        <v>70</v>
      </c>
      <c r="C158" s="6">
        <v>5</v>
      </c>
      <c r="D158" s="38" t="s">
        <v>38</v>
      </c>
      <c r="E158" s="54">
        <v>72</v>
      </c>
      <c r="F158" s="54">
        <v>1978</v>
      </c>
      <c r="G158" s="54">
        <v>4693.3</v>
      </c>
      <c r="H158" s="54">
        <f>1818.47+1946.1</f>
        <v>3764.5699999999997</v>
      </c>
      <c r="I158" s="54"/>
      <c r="J158" s="55">
        <f>222.88+241.9</f>
        <v>464.78</v>
      </c>
      <c r="K158" s="56">
        <f>203.78+220.43</f>
        <v>424.21000000000004</v>
      </c>
      <c r="L158" s="55">
        <v>350.28</v>
      </c>
      <c r="M158" s="57">
        <f t="shared" si="23"/>
        <v>413.09</v>
      </c>
      <c r="N158" s="58">
        <f t="shared" si="20"/>
        <v>109.73099185298719</v>
      </c>
      <c r="O158" s="55">
        <f>112.16+108.28</f>
        <v>220.44</v>
      </c>
      <c r="P158" s="56">
        <f>111.58+107.85</f>
        <v>219.43</v>
      </c>
      <c r="Q158" s="55">
        <v>188.59</v>
      </c>
      <c r="R158" s="57">
        <f t="shared" si="21"/>
        <v>209.48666666666668</v>
      </c>
      <c r="S158" s="58">
        <f t="shared" si="19"/>
        <v>55.646904338786825</v>
      </c>
    </row>
    <row r="159" spans="1:19" ht="26.25">
      <c r="A159" s="6">
        <v>156</v>
      </c>
      <c r="B159" s="38" t="s">
        <v>70</v>
      </c>
      <c r="C159" s="6">
        <v>7</v>
      </c>
      <c r="D159" s="38" t="s">
        <v>38</v>
      </c>
      <c r="E159" s="54">
        <v>72</v>
      </c>
      <c r="F159" s="54">
        <v>1978</v>
      </c>
      <c r="G159" s="54">
        <v>4539.6</v>
      </c>
      <c r="H159" s="54">
        <f>1757.07+1859.75</f>
        <v>3616.8199999999997</v>
      </c>
      <c r="I159" s="54"/>
      <c r="J159" s="55">
        <f>228.01+238.96</f>
        <v>466.97</v>
      </c>
      <c r="K159" s="56">
        <f>230.81+230.33</f>
        <v>461.14</v>
      </c>
      <c r="L159" s="55">
        <v>398.12</v>
      </c>
      <c r="M159" s="57">
        <f t="shared" si="23"/>
        <v>442.07666666666665</v>
      </c>
      <c r="N159" s="58">
        <f t="shared" si="20"/>
        <v>122.22799770700966</v>
      </c>
      <c r="O159" s="55">
        <f>98.61+98.87</f>
        <v>197.48000000000002</v>
      </c>
      <c r="P159" s="56">
        <f>95.72+100.66</f>
        <v>196.38</v>
      </c>
      <c r="Q159" s="55">
        <v>177.22</v>
      </c>
      <c r="R159" s="57">
        <f t="shared" si="21"/>
        <v>190.36</v>
      </c>
      <c r="S159" s="58">
        <f t="shared" si="19"/>
        <v>52.63186998523565</v>
      </c>
    </row>
    <row r="160" spans="1:19" ht="26.25">
      <c r="A160" s="6">
        <v>157</v>
      </c>
      <c r="B160" s="38" t="s">
        <v>70</v>
      </c>
      <c r="C160" s="6">
        <v>9</v>
      </c>
      <c r="D160" s="38" t="s">
        <v>38</v>
      </c>
      <c r="E160" s="54">
        <v>71</v>
      </c>
      <c r="F160" s="54">
        <v>1978</v>
      </c>
      <c r="G160" s="54">
        <v>4648.1</v>
      </c>
      <c r="H160" s="54">
        <f>1832.29+1722.45</f>
        <v>3554.74</v>
      </c>
      <c r="I160" s="54"/>
      <c r="J160" s="55">
        <f>231.55+237.49</f>
        <v>469.04</v>
      </c>
      <c r="K160" s="56">
        <f>223.5+200.02</f>
        <v>423.52</v>
      </c>
      <c r="L160" s="55">
        <v>379.54</v>
      </c>
      <c r="M160" s="57">
        <f t="shared" si="23"/>
        <v>424.0333333333333</v>
      </c>
      <c r="N160" s="58">
        <f t="shared" si="20"/>
        <v>119.28673639516064</v>
      </c>
      <c r="O160" s="55">
        <f>95.34+117.31</f>
        <v>212.65</v>
      </c>
      <c r="P160" s="56">
        <f>100.89+126.33</f>
        <v>227.22</v>
      </c>
      <c r="Q160" s="55">
        <v>193.38</v>
      </c>
      <c r="R160" s="57">
        <f t="shared" si="21"/>
        <v>211.08333333333334</v>
      </c>
      <c r="S160" s="58">
        <f t="shared" si="19"/>
        <v>59.38080797282878</v>
      </c>
    </row>
    <row r="161" spans="1:19" ht="26.25">
      <c r="A161" s="6">
        <v>158</v>
      </c>
      <c r="B161" s="38" t="s">
        <v>70</v>
      </c>
      <c r="C161" s="6">
        <v>11</v>
      </c>
      <c r="D161" s="38" t="s">
        <v>38</v>
      </c>
      <c r="E161" s="54">
        <v>72</v>
      </c>
      <c r="F161" s="54">
        <v>1977</v>
      </c>
      <c r="G161" s="54">
        <v>4710.7</v>
      </c>
      <c r="H161" s="54">
        <f>1843.81+1915.9</f>
        <v>3759.71</v>
      </c>
      <c r="I161" s="54"/>
      <c r="J161" s="55">
        <f>220.37+241.73</f>
        <v>462.1</v>
      </c>
      <c r="K161" s="56">
        <f>226.35+228.79</f>
        <v>455.14</v>
      </c>
      <c r="L161" s="55">
        <v>393.51</v>
      </c>
      <c r="M161" s="57">
        <f t="shared" si="23"/>
        <v>436.9166666666667</v>
      </c>
      <c r="N161" s="58">
        <f t="shared" si="20"/>
        <v>116.21020415581698</v>
      </c>
      <c r="O161" s="55">
        <f>105.91+110.62</f>
        <v>216.53</v>
      </c>
      <c r="P161" s="56">
        <f>99.26+106.52</f>
        <v>205.78</v>
      </c>
      <c r="Q161" s="55">
        <v>190.96</v>
      </c>
      <c r="R161" s="57">
        <f t="shared" si="21"/>
        <v>204.42333333333332</v>
      </c>
      <c r="S161" s="58">
        <f t="shared" si="19"/>
        <v>54.37210139434512</v>
      </c>
    </row>
    <row r="162" spans="1:19" ht="26.25">
      <c r="A162" s="6">
        <v>159</v>
      </c>
      <c r="B162" s="38" t="s">
        <v>70</v>
      </c>
      <c r="C162" s="6">
        <v>13</v>
      </c>
      <c r="D162" s="38" t="s">
        <v>38</v>
      </c>
      <c r="E162" s="54">
        <v>72</v>
      </c>
      <c r="F162" s="54">
        <v>1977</v>
      </c>
      <c r="G162" s="54">
        <v>4708.7</v>
      </c>
      <c r="H162" s="54">
        <f>1824.13+63+1738.53</f>
        <v>3625.66</v>
      </c>
      <c r="I162" s="54"/>
      <c r="J162" s="55">
        <f>228.14+7.87+228.4</f>
        <v>464.40999999999997</v>
      </c>
      <c r="K162" s="56">
        <f>209.305+7.22+224.34</f>
        <v>440.865</v>
      </c>
      <c r="L162" s="55">
        <v>392.03</v>
      </c>
      <c r="M162" s="57">
        <f t="shared" si="23"/>
        <v>432.43499999999995</v>
      </c>
      <c r="N162" s="58">
        <f t="shared" si="20"/>
        <v>119.27069830044735</v>
      </c>
      <c r="O162" s="55">
        <f>102.74+1.33+117.78</f>
        <v>221.85</v>
      </c>
      <c r="P162" s="56">
        <f>103.14+1.331+108.75</f>
        <v>213.221</v>
      </c>
      <c r="Q162" s="55">
        <v>189.47</v>
      </c>
      <c r="R162" s="57">
        <f t="shared" si="21"/>
        <v>208.18033333333335</v>
      </c>
      <c r="S162" s="58">
        <f t="shared" si="19"/>
        <v>57.41860332555545</v>
      </c>
    </row>
    <row r="163" spans="1:19" ht="26.25">
      <c r="A163" s="6">
        <v>160</v>
      </c>
      <c r="B163" s="38" t="s">
        <v>70</v>
      </c>
      <c r="C163" s="6">
        <v>15</v>
      </c>
      <c r="D163" s="38" t="s">
        <v>38</v>
      </c>
      <c r="E163" s="54">
        <v>71</v>
      </c>
      <c r="F163" s="54"/>
      <c r="G163" s="59">
        <f>1901+1917</f>
        <v>3818</v>
      </c>
      <c r="H163" s="54">
        <f>1835.56+1769.91</f>
        <v>3605.4700000000003</v>
      </c>
      <c r="I163" s="54"/>
      <c r="J163" s="55">
        <f>237.88+222.85</f>
        <v>460.73</v>
      </c>
      <c r="K163" s="56">
        <f>211.37+236.63</f>
        <v>448</v>
      </c>
      <c r="L163" s="55">
        <v>357.62</v>
      </c>
      <c r="M163" s="57">
        <f t="shared" si="23"/>
        <v>422.1166666666666</v>
      </c>
      <c r="N163" s="58">
        <f t="shared" si="20"/>
        <v>117.07673803045556</v>
      </c>
      <c r="O163" s="55">
        <f>113.8+118.33</f>
        <v>232.13</v>
      </c>
      <c r="P163" s="56">
        <f>118.04+118.25</f>
        <v>236.29000000000002</v>
      </c>
      <c r="Q163" s="55">
        <v>186.88</v>
      </c>
      <c r="R163" s="57">
        <f t="shared" si="21"/>
        <v>218.4333333333333</v>
      </c>
      <c r="S163" s="58">
        <f t="shared" si="19"/>
        <v>60.583872098043614</v>
      </c>
    </row>
    <row r="164" spans="1:19" ht="26.25">
      <c r="A164" s="6">
        <v>161</v>
      </c>
      <c r="B164" s="38" t="s">
        <v>70</v>
      </c>
      <c r="C164" s="6">
        <v>19</v>
      </c>
      <c r="D164" s="38" t="s">
        <v>38</v>
      </c>
      <c r="E164" s="54">
        <v>72</v>
      </c>
      <c r="F164" s="54"/>
      <c r="G164" s="59">
        <f>1994+2001</f>
        <v>3995</v>
      </c>
      <c r="H164" s="54">
        <f>1917.67+1939.04</f>
        <v>3856.71</v>
      </c>
      <c r="I164" s="54"/>
      <c r="J164" s="55">
        <f>256.08+230.99</f>
        <v>487.07</v>
      </c>
      <c r="K164" s="56">
        <f>242.69+223.5</f>
        <v>466.19</v>
      </c>
      <c r="L164" s="55">
        <v>403.61</v>
      </c>
      <c r="M164" s="57">
        <f t="shared" si="23"/>
        <v>452.28999999999996</v>
      </c>
      <c r="N164" s="58">
        <f t="shared" si="20"/>
        <v>117.2735310666345</v>
      </c>
      <c r="O164" s="55">
        <f>91.74+96.82</f>
        <v>188.56</v>
      </c>
      <c r="P164" s="56">
        <f>87.28+96.37</f>
        <v>183.65</v>
      </c>
      <c r="Q164" s="55">
        <v>163.32</v>
      </c>
      <c r="R164" s="57">
        <f t="shared" si="21"/>
        <v>178.51</v>
      </c>
      <c r="S164" s="58">
        <f t="shared" si="19"/>
        <v>46.285564639290996</v>
      </c>
    </row>
    <row r="165" spans="1:19" ht="26.25">
      <c r="A165" s="6">
        <v>162</v>
      </c>
      <c r="B165" s="38" t="s">
        <v>70</v>
      </c>
      <c r="C165" s="6">
        <v>21</v>
      </c>
      <c r="D165" s="38" t="s">
        <v>38</v>
      </c>
      <c r="E165" s="54">
        <v>108</v>
      </c>
      <c r="F165" s="54">
        <v>1975</v>
      </c>
      <c r="G165" s="54">
        <v>6986.2</v>
      </c>
      <c r="H165" s="54">
        <f>1817.03+1843.73+1903.21</f>
        <v>5563.97</v>
      </c>
      <c r="I165" s="54"/>
      <c r="J165" s="55">
        <f>226+206.6+231.13</f>
        <v>663.73</v>
      </c>
      <c r="K165" s="56">
        <f>222.71+196.13+224.08</f>
        <v>642.9200000000001</v>
      </c>
      <c r="L165" s="55">
        <v>571.9</v>
      </c>
      <c r="M165" s="57">
        <f t="shared" si="23"/>
        <v>626.1833333333334</v>
      </c>
      <c r="N165" s="58">
        <f t="shared" si="20"/>
        <v>112.54254306427485</v>
      </c>
      <c r="O165" s="55">
        <f>115.42+106.19+105.8</f>
        <v>327.41</v>
      </c>
      <c r="P165" s="56">
        <f>111.23+97.88+106.27</f>
        <v>315.38</v>
      </c>
      <c r="Q165" s="55">
        <v>290.95</v>
      </c>
      <c r="R165" s="57">
        <f t="shared" si="21"/>
        <v>311.24666666666667</v>
      </c>
      <c r="S165" s="58">
        <f t="shared" si="19"/>
        <v>55.939673770107795</v>
      </c>
    </row>
    <row r="166" spans="1:19" ht="26.25">
      <c r="A166" s="6">
        <v>163</v>
      </c>
      <c r="B166" s="38" t="s">
        <v>70</v>
      </c>
      <c r="C166" s="6">
        <v>23</v>
      </c>
      <c r="D166" s="38" t="s">
        <v>38</v>
      </c>
      <c r="E166" s="54">
        <v>108</v>
      </c>
      <c r="F166" s="54">
        <v>1975</v>
      </c>
      <c r="G166" s="54">
        <v>7033.5</v>
      </c>
      <c r="H166" s="54">
        <f>72.1+1805.94+1777.69+1985.94</f>
        <v>5641.67</v>
      </c>
      <c r="I166" s="54"/>
      <c r="J166" s="55">
        <f>8.61+215.72+206.47+257.84</f>
        <v>688.6399999999999</v>
      </c>
      <c r="K166" s="56">
        <f>8.58+214.64+191.96+247.96</f>
        <v>663.14</v>
      </c>
      <c r="L166" s="55">
        <v>578.25</v>
      </c>
      <c r="M166" s="57">
        <f t="shared" si="23"/>
        <v>643.3433333333332</v>
      </c>
      <c r="N166" s="58">
        <f t="shared" si="20"/>
        <v>114.03420145689721</v>
      </c>
      <c r="O166" s="55">
        <f>105.16+105.2+115.02</f>
        <v>325.38</v>
      </c>
      <c r="P166" s="56">
        <f>0.72+106.65+108.76+105.28</f>
        <v>321.40999999999997</v>
      </c>
      <c r="Q166" s="55">
        <v>292.59</v>
      </c>
      <c r="R166" s="57">
        <f t="shared" si="21"/>
        <v>313.1266666666666</v>
      </c>
      <c r="S166" s="58">
        <f t="shared" si="19"/>
        <v>55.502478285094064</v>
      </c>
    </row>
    <row r="167" spans="1:19" ht="26.25">
      <c r="A167" s="6">
        <v>164</v>
      </c>
      <c r="B167" s="38" t="s">
        <v>70</v>
      </c>
      <c r="C167" s="6">
        <v>27</v>
      </c>
      <c r="D167" s="38" t="s">
        <v>38</v>
      </c>
      <c r="E167" s="54">
        <v>36</v>
      </c>
      <c r="F167" s="54">
        <v>1975</v>
      </c>
      <c r="G167" s="54">
        <v>2401.7</v>
      </c>
      <c r="H167" s="54">
        <v>1748.84</v>
      </c>
      <c r="I167" s="54"/>
      <c r="J167" s="55">
        <v>226.16</v>
      </c>
      <c r="K167" s="56">
        <v>214.41</v>
      </c>
      <c r="L167" s="55">
        <v>195.62</v>
      </c>
      <c r="M167" s="57">
        <f t="shared" si="23"/>
        <v>212.0633333333333</v>
      </c>
      <c r="N167" s="58">
        <f t="shared" si="20"/>
        <v>121.2594252952433</v>
      </c>
      <c r="O167" s="55">
        <v>94.54</v>
      </c>
      <c r="P167" s="56">
        <v>95.27</v>
      </c>
      <c r="Q167" s="55">
        <v>79.47</v>
      </c>
      <c r="R167" s="57">
        <f t="shared" si="21"/>
        <v>89.75999999999999</v>
      </c>
      <c r="S167" s="58">
        <f t="shared" si="19"/>
        <v>51.325450012579765</v>
      </c>
    </row>
    <row r="168" spans="1:19" ht="15">
      <c r="A168" s="6">
        <v>165</v>
      </c>
      <c r="B168" s="38" t="s">
        <v>71</v>
      </c>
      <c r="C168" s="6">
        <v>6</v>
      </c>
      <c r="D168" s="38" t="s">
        <v>38</v>
      </c>
      <c r="E168" s="54"/>
      <c r="F168" s="54"/>
      <c r="G168" s="54"/>
      <c r="H168" s="54">
        <v>45.78</v>
      </c>
      <c r="I168" s="54"/>
      <c r="J168" s="56"/>
      <c r="K168" s="56">
        <v>0</v>
      </c>
      <c r="L168" s="56"/>
      <c r="M168" s="57">
        <f t="shared" si="23"/>
        <v>0</v>
      </c>
      <c r="N168" s="58">
        <f t="shared" si="20"/>
        <v>0</v>
      </c>
      <c r="O168" s="56"/>
      <c r="P168" s="56">
        <v>0</v>
      </c>
      <c r="Q168" s="56"/>
      <c r="R168" s="57">
        <f t="shared" si="21"/>
        <v>0</v>
      </c>
      <c r="S168" s="58">
        <f t="shared" si="19"/>
        <v>0</v>
      </c>
    </row>
    <row r="169" spans="1:19" ht="15">
      <c r="A169" s="6">
        <v>166</v>
      </c>
      <c r="B169" s="39" t="s">
        <v>72</v>
      </c>
      <c r="C169" s="14">
        <v>1</v>
      </c>
      <c r="D169" s="42" t="s">
        <v>121</v>
      </c>
      <c r="E169" s="56">
        <v>110</v>
      </c>
      <c r="F169" s="56">
        <v>1973</v>
      </c>
      <c r="G169" s="56">
        <v>7498.7</v>
      </c>
      <c r="H169" s="56">
        <f>1804.52+76.94+1832.92+1737.09</f>
        <v>5451.47</v>
      </c>
      <c r="I169" s="54"/>
      <c r="J169" s="55">
        <f>273.86+13.22+252.03+297.68</f>
        <v>836.79</v>
      </c>
      <c r="K169" s="56">
        <f>283.15+12.29+276.31+277.38</f>
        <v>849.13</v>
      </c>
      <c r="L169" s="55">
        <v>815.51</v>
      </c>
      <c r="M169" s="57">
        <f t="shared" si="23"/>
        <v>833.81</v>
      </c>
      <c r="N169" s="58">
        <f t="shared" si="20"/>
        <v>152.9514057676186</v>
      </c>
      <c r="O169" s="55">
        <f>105.74+5.74+105.37+97.86</f>
        <v>314.71</v>
      </c>
      <c r="P169" s="56">
        <f>94.75+4.15+101.19+95.18</f>
        <v>295.27</v>
      </c>
      <c r="Q169" s="55">
        <v>301.68</v>
      </c>
      <c r="R169" s="57">
        <f t="shared" si="21"/>
        <v>303.8866666666667</v>
      </c>
      <c r="S169" s="58">
        <f t="shared" si="19"/>
        <v>55.743985872923574</v>
      </c>
    </row>
    <row r="170" spans="1:19" ht="15">
      <c r="A170" s="6">
        <v>167</v>
      </c>
      <c r="B170" s="38" t="s">
        <v>72</v>
      </c>
      <c r="C170" s="6">
        <v>4</v>
      </c>
      <c r="D170" s="38" t="s">
        <v>38</v>
      </c>
      <c r="E170" s="54">
        <v>42</v>
      </c>
      <c r="F170" s="54"/>
      <c r="G170" s="54"/>
      <c r="H170" s="54">
        <v>2334.97</v>
      </c>
      <c r="I170" s="54"/>
      <c r="J170" s="55">
        <v>369.7</v>
      </c>
      <c r="K170" s="56">
        <v>360.88</v>
      </c>
      <c r="L170" s="55">
        <v>315.08</v>
      </c>
      <c r="M170" s="57">
        <f t="shared" si="23"/>
        <v>348.55333333333334</v>
      </c>
      <c r="N170" s="58">
        <f t="shared" si="20"/>
        <v>149.27529404374934</v>
      </c>
      <c r="O170" s="55">
        <v>120.2</v>
      </c>
      <c r="P170" s="56">
        <v>128.32</v>
      </c>
      <c r="Q170" s="55">
        <v>119.82</v>
      </c>
      <c r="R170" s="57">
        <f t="shared" si="21"/>
        <v>122.77999999999999</v>
      </c>
      <c r="S170" s="58">
        <f t="shared" si="19"/>
        <v>52.58311669957216</v>
      </c>
    </row>
    <row r="171" spans="1:19" ht="15">
      <c r="A171" s="6">
        <v>168</v>
      </c>
      <c r="B171" s="38" t="s">
        <v>72</v>
      </c>
      <c r="C171" s="6">
        <v>5</v>
      </c>
      <c r="D171" s="38" t="s">
        <v>38</v>
      </c>
      <c r="E171" s="54">
        <v>42</v>
      </c>
      <c r="F171" s="54">
        <v>1973</v>
      </c>
      <c r="G171" s="59">
        <v>3099.7</v>
      </c>
      <c r="H171" s="54">
        <v>2097.42</v>
      </c>
      <c r="I171" s="54"/>
      <c r="J171" s="55">
        <v>336.59</v>
      </c>
      <c r="K171" s="56">
        <v>354.88</v>
      </c>
      <c r="L171" s="55">
        <v>304.38</v>
      </c>
      <c r="M171" s="57">
        <f t="shared" si="23"/>
        <v>331.95</v>
      </c>
      <c r="N171" s="58">
        <f t="shared" si="20"/>
        <v>158.26586949681035</v>
      </c>
      <c r="O171" s="55">
        <v>154.71</v>
      </c>
      <c r="P171" s="56">
        <v>149.02</v>
      </c>
      <c r="Q171" s="55">
        <v>152.02</v>
      </c>
      <c r="R171" s="57">
        <f t="shared" si="21"/>
        <v>151.91666666666666</v>
      </c>
      <c r="S171" s="58">
        <f t="shared" si="19"/>
        <v>72.43025558384427</v>
      </c>
    </row>
    <row r="172" spans="1:19" ht="15">
      <c r="A172" s="6">
        <v>169</v>
      </c>
      <c r="B172" s="38" t="s">
        <v>72</v>
      </c>
      <c r="C172" s="6">
        <v>6</v>
      </c>
      <c r="D172" s="38" t="s">
        <v>38</v>
      </c>
      <c r="E172" s="54">
        <v>55</v>
      </c>
      <c r="F172" s="54"/>
      <c r="G172" s="54"/>
      <c r="H172" s="54">
        <v>2444.21</v>
      </c>
      <c r="I172" s="54"/>
      <c r="J172" s="55">
        <v>369.72</v>
      </c>
      <c r="K172" s="56">
        <v>316.22</v>
      </c>
      <c r="L172" s="55">
        <v>284.01</v>
      </c>
      <c r="M172" s="57">
        <f t="shared" si="23"/>
        <v>323.31666666666666</v>
      </c>
      <c r="N172" s="58">
        <f t="shared" si="20"/>
        <v>132.27859581078002</v>
      </c>
      <c r="O172" s="55">
        <v>147.02</v>
      </c>
      <c r="P172" s="56">
        <v>135.08</v>
      </c>
      <c r="Q172" s="55">
        <v>134.92</v>
      </c>
      <c r="R172" s="57">
        <f t="shared" si="21"/>
        <v>139.00666666666666</v>
      </c>
      <c r="S172" s="58">
        <f t="shared" si="19"/>
        <v>56.87181816074178</v>
      </c>
    </row>
    <row r="173" spans="1:19" ht="15">
      <c r="A173" s="6">
        <v>170</v>
      </c>
      <c r="B173" s="38" t="s">
        <v>72</v>
      </c>
      <c r="C173" s="6">
        <v>8</v>
      </c>
      <c r="D173" s="38" t="s">
        <v>38</v>
      </c>
      <c r="E173" s="54">
        <v>84</v>
      </c>
      <c r="F173" s="54">
        <v>1988</v>
      </c>
      <c r="G173" s="54">
        <v>5481.5</v>
      </c>
      <c r="H173" s="54">
        <f>2025.55+2094.05</f>
        <v>4119.6</v>
      </c>
      <c r="I173" s="54"/>
      <c r="J173" s="55">
        <f>297.91+302.73</f>
        <v>600.6400000000001</v>
      </c>
      <c r="K173" s="56">
        <f>273.39+264.14</f>
        <v>537.53</v>
      </c>
      <c r="L173" s="55">
        <v>524.2</v>
      </c>
      <c r="M173" s="57">
        <f t="shared" si="23"/>
        <v>554.1233333333333</v>
      </c>
      <c r="N173" s="58">
        <f t="shared" si="20"/>
        <v>134.50901382011196</v>
      </c>
      <c r="O173" s="55">
        <f>121.49+136.27</f>
        <v>257.76</v>
      </c>
      <c r="P173" s="56">
        <f>129.91+147.97</f>
        <v>277.88</v>
      </c>
      <c r="Q173" s="55">
        <v>293.1</v>
      </c>
      <c r="R173" s="57">
        <f t="shared" si="21"/>
        <v>276.24666666666667</v>
      </c>
      <c r="S173" s="58">
        <f t="shared" si="19"/>
        <v>67.05667216881898</v>
      </c>
    </row>
    <row r="174" spans="1:19" ht="15">
      <c r="A174" s="6">
        <v>171</v>
      </c>
      <c r="B174" s="38" t="s">
        <v>72</v>
      </c>
      <c r="C174" s="6">
        <v>10</v>
      </c>
      <c r="D174" s="38" t="s">
        <v>38</v>
      </c>
      <c r="E174" s="54">
        <v>84</v>
      </c>
      <c r="F174" s="54"/>
      <c r="G174" s="54"/>
      <c r="H174" s="54">
        <f>2138.32+2139.77</f>
        <v>4278.09</v>
      </c>
      <c r="I174" s="54"/>
      <c r="J174" s="55">
        <f>309.21+272.93</f>
        <v>582.14</v>
      </c>
      <c r="K174" s="56">
        <f>260.22+266.09</f>
        <v>526.31</v>
      </c>
      <c r="L174" s="55">
        <v>464.43</v>
      </c>
      <c r="M174" s="57">
        <f>(L174+K174+J174)/3</f>
        <v>524.2933333333334</v>
      </c>
      <c r="N174" s="58">
        <f t="shared" si="20"/>
        <v>122.55313313495822</v>
      </c>
      <c r="O174" s="55">
        <f>137.39+108.8</f>
        <v>246.19</v>
      </c>
      <c r="P174" s="56">
        <f>116.31+115.61</f>
        <v>231.92000000000002</v>
      </c>
      <c r="Q174" s="55">
        <v>233.63</v>
      </c>
      <c r="R174" s="57">
        <f t="shared" si="21"/>
        <v>237.24666666666667</v>
      </c>
      <c r="S174" s="58">
        <f t="shared" si="19"/>
        <v>55.45621215698283</v>
      </c>
    </row>
    <row r="175" spans="1:19" ht="15">
      <c r="A175" s="6">
        <v>172</v>
      </c>
      <c r="B175" s="38" t="s">
        <v>16</v>
      </c>
      <c r="C175" s="6">
        <v>27</v>
      </c>
      <c r="D175" s="38" t="s">
        <v>8</v>
      </c>
      <c r="E175" s="54">
        <v>14</v>
      </c>
      <c r="F175" s="54">
        <v>1955</v>
      </c>
      <c r="G175" s="54">
        <v>705</v>
      </c>
      <c r="H175" s="54">
        <v>587.8</v>
      </c>
      <c r="I175" s="54">
        <v>13</v>
      </c>
      <c r="J175" s="61">
        <v>46.99</v>
      </c>
      <c r="K175" s="55">
        <v>36.42</v>
      </c>
      <c r="L175" s="61">
        <v>35.54</v>
      </c>
      <c r="M175" s="57">
        <f>(L175+K175+J175)/3</f>
        <v>39.650000000000006</v>
      </c>
      <c r="N175" s="58">
        <f t="shared" si="20"/>
        <v>67.45491663831237</v>
      </c>
      <c r="O175" s="61">
        <v>17.26</v>
      </c>
      <c r="P175" s="55">
        <v>14.3</v>
      </c>
      <c r="Q175" s="61">
        <v>12.67</v>
      </c>
      <c r="R175" s="57">
        <f t="shared" si="21"/>
        <v>14.743333333333334</v>
      </c>
      <c r="S175" s="58">
        <f t="shared" si="19"/>
        <v>25.08222751502779</v>
      </c>
    </row>
    <row r="176" spans="1:19" ht="15">
      <c r="A176" s="6">
        <v>173</v>
      </c>
      <c r="B176" s="38" t="s">
        <v>16</v>
      </c>
      <c r="C176" s="6">
        <v>28</v>
      </c>
      <c r="D176" s="38" t="s">
        <v>8</v>
      </c>
      <c r="E176" s="54">
        <v>55</v>
      </c>
      <c r="F176" s="54"/>
      <c r="G176" s="59">
        <v>2080.5</v>
      </c>
      <c r="H176" s="59">
        <v>2010.86</v>
      </c>
      <c r="I176" s="54">
        <v>107</v>
      </c>
      <c r="J176" s="60">
        <v>274.35</v>
      </c>
      <c r="K176" s="55">
        <v>259.94</v>
      </c>
      <c r="L176" s="60">
        <v>246.75918827449524</v>
      </c>
      <c r="M176" s="57">
        <f>(L176+K176+J176)/3</f>
        <v>260.34972942483176</v>
      </c>
      <c r="N176" s="58">
        <f t="shared" si="20"/>
        <v>129.4718326610663</v>
      </c>
      <c r="O176" s="60">
        <v>0</v>
      </c>
      <c r="P176" s="55">
        <v>0</v>
      </c>
      <c r="Q176" s="60">
        <v>0</v>
      </c>
      <c r="R176" s="57">
        <f t="shared" si="21"/>
        <v>0</v>
      </c>
      <c r="S176" s="58">
        <f t="shared" si="19"/>
        <v>0</v>
      </c>
    </row>
    <row r="177" spans="1:19" ht="15">
      <c r="A177" s="6">
        <v>174</v>
      </c>
      <c r="B177" s="38" t="s">
        <v>16</v>
      </c>
      <c r="C177" s="6">
        <v>29</v>
      </c>
      <c r="D177" s="38" t="s">
        <v>8</v>
      </c>
      <c r="E177" s="54">
        <v>13</v>
      </c>
      <c r="F177" s="54">
        <v>1956</v>
      </c>
      <c r="G177" s="66">
        <v>575.7</v>
      </c>
      <c r="H177" s="66">
        <v>467.7</v>
      </c>
      <c r="I177" s="54">
        <v>35</v>
      </c>
      <c r="J177" s="61">
        <v>66.43</v>
      </c>
      <c r="K177" s="55">
        <v>65.07</v>
      </c>
      <c r="L177" s="61">
        <v>60.87</v>
      </c>
      <c r="M177" s="57">
        <f>(L177+K177+J177)/3</f>
        <v>64.12333333333333</v>
      </c>
      <c r="N177" s="58">
        <f t="shared" si="20"/>
        <v>137.10355641080466</v>
      </c>
      <c r="O177" s="61">
        <v>14.61</v>
      </c>
      <c r="P177" s="55">
        <v>14.08</v>
      </c>
      <c r="Q177" s="61">
        <v>12.67</v>
      </c>
      <c r="R177" s="57">
        <f t="shared" si="21"/>
        <v>13.786666666666667</v>
      </c>
      <c r="S177" s="58">
        <f t="shared" si="19"/>
        <v>29.477585346732237</v>
      </c>
    </row>
    <row r="178" spans="1:19" ht="15">
      <c r="A178" s="6">
        <v>175</v>
      </c>
      <c r="B178" s="38" t="s">
        <v>16</v>
      </c>
      <c r="C178" s="6">
        <v>17</v>
      </c>
      <c r="D178" s="38" t="s">
        <v>38</v>
      </c>
      <c r="E178" s="54">
        <v>55</v>
      </c>
      <c r="F178" s="54"/>
      <c r="G178" s="54"/>
      <c r="H178" s="54">
        <v>2449.3</v>
      </c>
      <c r="I178" s="54"/>
      <c r="J178" s="55">
        <v>345.47</v>
      </c>
      <c r="K178" s="56">
        <v>361.12</v>
      </c>
      <c r="L178" s="55">
        <v>323.1</v>
      </c>
      <c r="M178" s="57">
        <f aca="true" t="shared" si="24" ref="M178:M183">(L178+K178+J178)/3</f>
        <v>343.23</v>
      </c>
      <c r="N178" s="58">
        <f t="shared" si="20"/>
        <v>140.13391581268118</v>
      </c>
      <c r="O178" s="55">
        <v>139.73</v>
      </c>
      <c r="P178" s="56">
        <v>136.88</v>
      </c>
      <c r="Q178" s="55">
        <v>131.78</v>
      </c>
      <c r="R178" s="57">
        <f t="shared" si="21"/>
        <v>136.13</v>
      </c>
      <c r="S178" s="58">
        <f t="shared" si="19"/>
        <v>55.5791450618544</v>
      </c>
    </row>
    <row r="179" spans="1:19" ht="15">
      <c r="A179" s="6">
        <v>176</v>
      </c>
      <c r="B179" s="38" t="s">
        <v>16</v>
      </c>
      <c r="C179" s="6">
        <v>19</v>
      </c>
      <c r="D179" s="38" t="s">
        <v>38</v>
      </c>
      <c r="E179" s="54">
        <v>55</v>
      </c>
      <c r="F179" s="54"/>
      <c r="G179" s="54"/>
      <c r="H179" s="54">
        <v>2544.85</v>
      </c>
      <c r="I179" s="54"/>
      <c r="J179" s="55">
        <v>346.65</v>
      </c>
      <c r="K179" s="56">
        <v>329.16</v>
      </c>
      <c r="L179" s="55">
        <v>334.62</v>
      </c>
      <c r="M179" s="57">
        <f t="shared" si="24"/>
        <v>336.81</v>
      </c>
      <c r="N179" s="58">
        <f t="shared" si="20"/>
        <v>132.34964732695445</v>
      </c>
      <c r="O179" s="55">
        <v>128.74</v>
      </c>
      <c r="P179" s="56">
        <v>133.37</v>
      </c>
      <c r="Q179" s="55">
        <v>134.13</v>
      </c>
      <c r="R179" s="57">
        <f t="shared" si="21"/>
        <v>132.08</v>
      </c>
      <c r="S179" s="58">
        <f t="shared" si="19"/>
        <v>51.90089789182074</v>
      </c>
    </row>
    <row r="180" spans="1:19" ht="15">
      <c r="A180" s="6">
        <v>177</v>
      </c>
      <c r="B180" s="38" t="s">
        <v>16</v>
      </c>
      <c r="C180" s="6">
        <v>22</v>
      </c>
      <c r="D180" s="38" t="s">
        <v>38</v>
      </c>
      <c r="E180" s="54">
        <v>52</v>
      </c>
      <c r="F180" s="54"/>
      <c r="G180" s="54">
        <v>2974.3</v>
      </c>
      <c r="H180" s="54">
        <f>1901.97+82.76+37.6</f>
        <v>2022.33</v>
      </c>
      <c r="I180" s="54"/>
      <c r="J180" s="55">
        <f>5.6+12.33+283.29</f>
        <v>301.22</v>
      </c>
      <c r="K180" s="56">
        <f>279.544+12.17+5.53</f>
        <v>297.24399999999997</v>
      </c>
      <c r="L180" s="55">
        <v>258.13</v>
      </c>
      <c r="M180" s="57">
        <f t="shared" si="24"/>
        <v>285.53133333333335</v>
      </c>
      <c r="N180" s="58">
        <f t="shared" si="20"/>
        <v>141.18928826320794</v>
      </c>
      <c r="O180" s="55">
        <f>0.36+84.08</f>
        <v>84.44</v>
      </c>
      <c r="P180" s="56">
        <f>72.29+0.464</f>
        <v>72.754</v>
      </c>
      <c r="Q180" s="55">
        <v>77.64</v>
      </c>
      <c r="R180" s="57">
        <f t="shared" si="21"/>
        <v>78.278</v>
      </c>
      <c r="S180" s="58">
        <f t="shared" si="19"/>
        <v>38.70683815203256</v>
      </c>
    </row>
    <row r="181" spans="1:19" ht="15">
      <c r="A181" s="6">
        <v>178</v>
      </c>
      <c r="B181" s="38" t="s">
        <v>16</v>
      </c>
      <c r="C181" s="6">
        <v>31</v>
      </c>
      <c r="D181" s="38" t="s">
        <v>38</v>
      </c>
      <c r="E181" s="54">
        <v>90</v>
      </c>
      <c r="F181" s="54">
        <v>1971</v>
      </c>
      <c r="G181" s="54">
        <v>5854</v>
      </c>
      <c r="H181" s="54">
        <v>3929.38</v>
      </c>
      <c r="I181" s="54"/>
      <c r="J181" s="55">
        <v>444.8</v>
      </c>
      <c r="K181" s="56">
        <v>401.49</v>
      </c>
      <c r="L181" s="55">
        <v>347.99</v>
      </c>
      <c r="M181" s="57">
        <f t="shared" si="24"/>
        <v>398.0933333333333</v>
      </c>
      <c r="N181" s="58">
        <f t="shared" si="20"/>
        <v>101.31199663390491</v>
      </c>
      <c r="O181" s="55">
        <v>253.43</v>
      </c>
      <c r="P181" s="56">
        <v>261.71</v>
      </c>
      <c r="Q181" s="55">
        <v>262.05</v>
      </c>
      <c r="R181" s="57">
        <f t="shared" si="21"/>
        <v>259.06333333333333</v>
      </c>
      <c r="S181" s="58">
        <f t="shared" si="19"/>
        <v>65.92982438281187</v>
      </c>
    </row>
    <row r="182" spans="1:19" ht="15">
      <c r="A182" s="6">
        <v>179</v>
      </c>
      <c r="B182" s="38" t="s">
        <v>16</v>
      </c>
      <c r="C182" s="6">
        <v>33</v>
      </c>
      <c r="D182" s="38" t="s">
        <v>38</v>
      </c>
      <c r="E182" s="54">
        <v>90</v>
      </c>
      <c r="F182" s="54"/>
      <c r="G182" s="54">
        <v>6175.2</v>
      </c>
      <c r="H182" s="54">
        <v>4059.03</v>
      </c>
      <c r="I182" s="54"/>
      <c r="J182" s="55">
        <v>412.57</v>
      </c>
      <c r="K182" s="56">
        <v>438.2</v>
      </c>
      <c r="L182" s="55">
        <v>344.35</v>
      </c>
      <c r="M182" s="57">
        <f t="shared" si="24"/>
        <v>398.3733333333333</v>
      </c>
      <c r="N182" s="58">
        <f t="shared" si="20"/>
        <v>98.14495909942357</v>
      </c>
      <c r="O182" s="55">
        <v>241.44</v>
      </c>
      <c r="P182" s="56">
        <v>246.87</v>
      </c>
      <c r="Q182" s="55">
        <v>223.82</v>
      </c>
      <c r="R182" s="57">
        <f t="shared" si="21"/>
        <v>237.37666666666667</v>
      </c>
      <c r="S182" s="58">
        <f t="shared" si="19"/>
        <v>58.481131370467</v>
      </c>
    </row>
    <row r="183" spans="1:19" ht="15">
      <c r="A183" s="6">
        <v>180</v>
      </c>
      <c r="B183" s="38" t="s">
        <v>16</v>
      </c>
      <c r="C183" s="6">
        <v>53</v>
      </c>
      <c r="D183" s="38" t="s">
        <v>38</v>
      </c>
      <c r="E183" s="54">
        <v>30</v>
      </c>
      <c r="F183" s="54"/>
      <c r="G183" s="59"/>
      <c r="H183" s="54">
        <v>1473.32</v>
      </c>
      <c r="I183" s="54"/>
      <c r="J183" s="55">
        <v>281.7</v>
      </c>
      <c r="K183" s="56">
        <v>260.66</v>
      </c>
      <c r="L183" s="55">
        <v>226.77</v>
      </c>
      <c r="M183" s="57">
        <f t="shared" si="24"/>
        <v>256.3766666666667</v>
      </c>
      <c r="N183" s="58">
        <f t="shared" si="20"/>
        <v>174.01288699445246</v>
      </c>
      <c r="O183" s="55">
        <v>75.98</v>
      </c>
      <c r="P183" s="56">
        <v>83.77</v>
      </c>
      <c r="Q183" s="55">
        <v>88.07</v>
      </c>
      <c r="R183" s="57">
        <f t="shared" si="21"/>
        <v>82.60666666666667</v>
      </c>
      <c r="S183" s="58">
        <f t="shared" si="19"/>
        <v>56.06838070932769</v>
      </c>
    </row>
    <row r="184" spans="1:19" ht="15">
      <c r="A184" s="6">
        <v>181</v>
      </c>
      <c r="B184" s="38" t="s">
        <v>16</v>
      </c>
      <c r="C184" s="6">
        <v>61</v>
      </c>
      <c r="D184" s="38" t="s">
        <v>38</v>
      </c>
      <c r="E184" s="54">
        <v>27</v>
      </c>
      <c r="F184" s="54">
        <v>1969</v>
      </c>
      <c r="G184" s="54">
        <v>3226.9</v>
      </c>
      <c r="H184" s="54">
        <v>2538.58</v>
      </c>
      <c r="I184" s="54"/>
      <c r="J184" s="55">
        <v>369.81</v>
      </c>
      <c r="K184" s="56">
        <v>326.03</v>
      </c>
      <c r="L184" s="55">
        <v>304.15</v>
      </c>
      <c r="M184" s="57">
        <f aca="true" t="shared" si="25" ref="M184:M190">(L184+K184+J184)/3</f>
        <v>333.33</v>
      </c>
      <c r="N184" s="58">
        <f t="shared" si="20"/>
        <v>131.3056905829243</v>
      </c>
      <c r="O184" s="55">
        <v>157.69</v>
      </c>
      <c r="P184" s="56">
        <v>139.07</v>
      </c>
      <c r="Q184" s="55">
        <v>151.36</v>
      </c>
      <c r="R184" s="57">
        <f t="shared" si="21"/>
        <v>149.37333333333333</v>
      </c>
      <c r="S184" s="58">
        <f t="shared" si="19"/>
        <v>58.84129447696482</v>
      </c>
    </row>
    <row r="185" spans="1:19" ht="15">
      <c r="A185" s="6">
        <v>182</v>
      </c>
      <c r="B185" s="38" t="s">
        <v>16</v>
      </c>
      <c r="C185" s="6">
        <v>63</v>
      </c>
      <c r="D185" s="38" t="s">
        <v>38</v>
      </c>
      <c r="E185" s="54">
        <v>55</v>
      </c>
      <c r="F185" s="54">
        <v>1970</v>
      </c>
      <c r="G185" s="54">
        <v>3230</v>
      </c>
      <c r="H185" s="54">
        <v>2506.45</v>
      </c>
      <c r="I185" s="54"/>
      <c r="J185" s="55">
        <v>391.22</v>
      </c>
      <c r="K185" s="56">
        <v>341.31</v>
      </c>
      <c r="L185" s="55">
        <v>316.36</v>
      </c>
      <c r="M185" s="57">
        <f t="shared" si="25"/>
        <v>349.63000000000005</v>
      </c>
      <c r="N185" s="58">
        <f t="shared" si="20"/>
        <v>139.4921103552834</v>
      </c>
      <c r="O185" s="55">
        <v>133.78</v>
      </c>
      <c r="P185" s="56">
        <v>127.19</v>
      </c>
      <c r="Q185" s="55">
        <v>137.63</v>
      </c>
      <c r="R185" s="57">
        <f t="shared" si="21"/>
        <v>132.86666666666667</v>
      </c>
      <c r="S185" s="58">
        <f t="shared" si="19"/>
        <v>53.0099011217725</v>
      </c>
    </row>
    <row r="186" spans="1:19" ht="15">
      <c r="A186" s="6">
        <v>183</v>
      </c>
      <c r="B186" s="38" t="s">
        <v>16</v>
      </c>
      <c r="C186" s="6" t="s">
        <v>73</v>
      </c>
      <c r="D186" s="38" t="s">
        <v>38</v>
      </c>
      <c r="E186" s="54">
        <v>80</v>
      </c>
      <c r="F186" s="54"/>
      <c r="G186" s="54">
        <v>4675.8</v>
      </c>
      <c r="H186" s="54">
        <f>200.94+9.26+28.2+1649.08+1352.92+117.99+209</f>
        <v>3567.39</v>
      </c>
      <c r="I186" s="54"/>
      <c r="J186" s="55">
        <f>27.91+1.29+227.93+174.27+9.46</f>
        <v>440.85999999999996</v>
      </c>
      <c r="K186" s="56">
        <f>27.31+1.27+1.45+222.89+155.84+13.59+23.98</f>
        <v>446.33</v>
      </c>
      <c r="L186" s="55">
        <v>377.6</v>
      </c>
      <c r="M186" s="57">
        <f t="shared" si="25"/>
        <v>421.59666666666664</v>
      </c>
      <c r="N186" s="58">
        <f t="shared" si="20"/>
        <v>118.18070540834242</v>
      </c>
      <c r="O186" s="55">
        <f>0.17+0.22+70.53+0.36+60.12+0.08</f>
        <v>131.48000000000002</v>
      </c>
      <c r="P186" s="56">
        <f>0.22+0.36+63.05+0.35+55.01+0.07</f>
        <v>119.05999999999999</v>
      </c>
      <c r="Q186" s="55">
        <v>122.27</v>
      </c>
      <c r="R186" s="57">
        <f t="shared" si="21"/>
        <v>124.27</v>
      </c>
      <c r="S186" s="58">
        <f t="shared" si="19"/>
        <v>34.83499140828449</v>
      </c>
    </row>
    <row r="187" spans="1:19" ht="15">
      <c r="A187" s="6">
        <v>184</v>
      </c>
      <c r="B187" s="38" t="s">
        <v>16</v>
      </c>
      <c r="C187" s="12" t="s">
        <v>44</v>
      </c>
      <c r="D187" s="38"/>
      <c r="E187" s="54"/>
      <c r="F187" s="54"/>
      <c r="G187" s="59">
        <v>507.9</v>
      </c>
      <c r="H187" s="59">
        <v>349.53</v>
      </c>
      <c r="I187" s="54"/>
      <c r="J187" s="61">
        <v>46.99</v>
      </c>
      <c r="K187" s="55">
        <v>36.42</v>
      </c>
      <c r="L187" s="61">
        <v>35.54</v>
      </c>
      <c r="M187" s="57">
        <f t="shared" si="25"/>
        <v>39.650000000000006</v>
      </c>
      <c r="N187" s="58">
        <f t="shared" si="20"/>
        <v>113.43804537521818</v>
      </c>
      <c r="O187" s="61">
        <v>17.26</v>
      </c>
      <c r="P187" s="55">
        <v>14.3</v>
      </c>
      <c r="Q187" s="61">
        <v>12.67</v>
      </c>
      <c r="R187" s="57">
        <f t="shared" si="21"/>
        <v>14.743333333333334</v>
      </c>
      <c r="S187" s="58">
        <f t="shared" si="19"/>
        <v>42.18045184485834</v>
      </c>
    </row>
    <row r="188" spans="1:19" ht="15">
      <c r="A188" s="6">
        <v>185</v>
      </c>
      <c r="B188" s="38" t="s">
        <v>16</v>
      </c>
      <c r="C188" s="12" t="s">
        <v>118</v>
      </c>
      <c r="D188" s="38"/>
      <c r="E188" s="54"/>
      <c r="F188" s="54"/>
      <c r="G188" s="59">
        <v>2080.5</v>
      </c>
      <c r="H188" s="59">
        <v>2010.86</v>
      </c>
      <c r="I188" s="54"/>
      <c r="J188" s="60">
        <v>274.35</v>
      </c>
      <c r="K188" s="55">
        <v>259.94</v>
      </c>
      <c r="L188" s="60">
        <v>246.75918827449524</v>
      </c>
      <c r="M188" s="57">
        <f t="shared" si="25"/>
        <v>260.34972942483176</v>
      </c>
      <c r="N188" s="58">
        <f t="shared" si="20"/>
        <v>129.4718326610663</v>
      </c>
      <c r="O188" s="60">
        <v>0</v>
      </c>
      <c r="P188" s="55">
        <v>0</v>
      </c>
      <c r="Q188" s="60">
        <v>0</v>
      </c>
      <c r="R188" s="57">
        <f t="shared" si="21"/>
        <v>0</v>
      </c>
      <c r="S188" s="58">
        <f t="shared" si="19"/>
        <v>0</v>
      </c>
    </row>
    <row r="189" spans="1:19" ht="15">
      <c r="A189" s="6">
        <v>186</v>
      </c>
      <c r="B189" s="38" t="s">
        <v>16</v>
      </c>
      <c r="C189" s="12" t="s">
        <v>45</v>
      </c>
      <c r="D189" s="38"/>
      <c r="E189" s="54"/>
      <c r="F189" s="54"/>
      <c r="G189" s="66">
        <v>575.7</v>
      </c>
      <c r="H189" s="66">
        <v>467.7</v>
      </c>
      <c r="I189" s="54"/>
      <c r="J189" s="61">
        <v>66.43</v>
      </c>
      <c r="K189" s="55">
        <v>65.07</v>
      </c>
      <c r="L189" s="61">
        <v>60.87</v>
      </c>
      <c r="M189" s="57">
        <f t="shared" si="25"/>
        <v>64.12333333333333</v>
      </c>
      <c r="N189" s="58">
        <f t="shared" si="20"/>
        <v>137.10355641080466</v>
      </c>
      <c r="O189" s="61">
        <v>14.61</v>
      </c>
      <c r="P189" s="55">
        <v>14.08</v>
      </c>
      <c r="Q189" s="61">
        <v>12.67</v>
      </c>
      <c r="R189" s="57">
        <f t="shared" si="21"/>
        <v>13.786666666666667</v>
      </c>
      <c r="S189" s="58">
        <f t="shared" si="19"/>
        <v>29.477585346732237</v>
      </c>
    </row>
    <row r="190" spans="1:19" ht="19.5" customHeight="1">
      <c r="A190" s="6">
        <v>187</v>
      </c>
      <c r="B190" s="38" t="s">
        <v>16</v>
      </c>
      <c r="C190" s="16">
        <v>55</v>
      </c>
      <c r="D190" s="40" t="s">
        <v>43</v>
      </c>
      <c r="E190" s="65">
        <v>13</v>
      </c>
      <c r="F190" s="54"/>
      <c r="G190" s="65" t="s">
        <v>103</v>
      </c>
      <c r="H190" s="64">
        <v>933.9</v>
      </c>
      <c r="I190" s="54"/>
      <c r="J190" s="60">
        <v>149.26</v>
      </c>
      <c r="K190" s="55">
        <v>129.92</v>
      </c>
      <c r="L190" s="60">
        <v>88.9902</v>
      </c>
      <c r="M190" s="57">
        <f t="shared" si="25"/>
        <v>122.72339999999998</v>
      </c>
      <c r="N190" s="58">
        <f t="shared" si="20"/>
        <v>131.40957275939607</v>
      </c>
      <c r="O190" s="60">
        <v>39.36</v>
      </c>
      <c r="P190" s="55">
        <v>28.05</v>
      </c>
      <c r="Q190" s="60">
        <v>76.74980000000001</v>
      </c>
      <c r="R190" s="57">
        <f t="shared" si="21"/>
        <v>48.05326666666667</v>
      </c>
      <c r="S190" s="58">
        <f t="shared" si="19"/>
        <v>51.45440268408468</v>
      </c>
    </row>
    <row r="191" spans="1:19" ht="15">
      <c r="A191" s="6">
        <v>188</v>
      </c>
      <c r="B191" s="38" t="s">
        <v>17</v>
      </c>
      <c r="C191" s="6">
        <v>14</v>
      </c>
      <c r="D191" s="38" t="s">
        <v>38</v>
      </c>
      <c r="E191" s="54">
        <v>75</v>
      </c>
      <c r="F191" s="54">
        <v>1977</v>
      </c>
      <c r="G191" s="54">
        <v>4389.1</v>
      </c>
      <c r="H191" s="54">
        <v>3508.81</v>
      </c>
      <c r="I191" s="54"/>
      <c r="J191" s="55">
        <v>343.47</v>
      </c>
      <c r="K191" s="56">
        <v>317.33</v>
      </c>
      <c r="L191" s="55">
        <v>264.1</v>
      </c>
      <c r="M191" s="57">
        <f aca="true" t="shared" si="26" ref="M191:M204">(L191+K191+J191)/3</f>
        <v>308.3</v>
      </c>
      <c r="N191" s="58">
        <f t="shared" si="20"/>
        <v>87.86454666966864</v>
      </c>
      <c r="O191" s="55">
        <v>204.37</v>
      </c>
      <c r="P191" s="56">
        <v>202.57</v>
      </c>
      <c r="Q191" s="55">
        <v>181.3</v>
      </c>
      <c r="R191" s="57">
        <f t="shared" si="21"/>
        <v>196.08</v>
      </c>
      <c r="S191" s="58">
        <f t="shared" si="19"/>
        <v>55.8821936781986</v>
      </c>
    </row>
    <row r="192" spans="1:19" ht="15">
      <c r="A192" s="6">
        <v>189</v>
      </c>
      <c r="B192" s="38" t="s">
        <v>17</v>
      </c>
      <c r="C192" s="6">
        <v>16</v>
      </c>
      <c r="D192" s="38" t="s">
        <v>38</v>
      </c>
      <c r="E192" s="54">
        <v>30</v>
      </c>
      <c r="F192" s="54">
        <v>1977</v>
      </c>
      <c r="G192" s="54">
        <v>2028.6</v>
      </c>
      <c r="H192" s="54">
        <v>1633.76</v>
      </c>
      <c r="I192" s="54"/>
      <c r="J192" s="55">
        <v>183.19</v>
      </c>
      <c r="K192" s="56">
        <v>188.22</v>
      </c>
      <c r="L192" s="55">
        <v>171.59</v>
      </c>
      <c r="M192" s="57">
        <f t="shared" si="26"/>
        <v>181</v>
      </c>
      <c r="N192" s="58">
        <f t="shared" si="20"/>
        <v>110.78738615218882</v>
      </c>
      <c r="O192" s="55">
        <v>73.71</v>
      </c>
      <c r="P192" s="56">
        <v>69.78</v>
      </c>
      <c r="Q192" s="55">
        <v>71.91</v>
      </c>
      <c r="R192" s="57">
        <f t="shared" si="21"/>
        <v>71.8</v>
      </c>
      <c r="S192" s="58">
        <f t="shared" si="19"/>
        <v>43.947703457056114</v>
      </c>
    </row>
    <row r="193" spans="1:19" ht="15">
      <c r="A193" s="6">
        <v>190</v>
      </c>
      <c r="B193" s="38" t="s">
        <v>17</v>
      </c>
      <c r="C193" s="6">
        <v>18</v>
      </c>
      <c r="D193" s="38" t="s">
        <v>38</v>
      </c>
      <c r="E193" s="54">
        <v>75</v>
      </c>
      <c r="F193" s="54">
        <v>1978</v>
      </c>
      <c r="G193" s="54">
        <v>4226.8</v>
      </c>
      <c r="H193" s="54">
        <v>3401.55</v>
      </c>
      <c r="I193" s="54"/>
      <c r="J193" s="55">
        <v>349.08</v>
      </c>
      <c r="K193" s="56">
        <v>354.16</v>
      </c>
      <c r="L193" s="55">
        <v>331.44</v>
      </c>
      <c r="M193" s="57">
        <f t="shared" si="26"/>
        <v>344.8933333333334</v>
      </c>
      <c r="N193" s="58">
        <f t="shared" si="20"/>
        <v>101.39299241032275</v>
      </c>
      <c r="O193" s="55">
        <v>172.68</v>
      </c>
      <c r="P193" s="56">
        <v>174.35</v>
      </c>
      <c r="Q193" s="55">
        <v>172.06</v>
      </c>
      <c r="R193" s="57">
        <f t="shared" si="21"/>
        <v>173.02999999999997</v>
      </c>
      <c r="S193" s="58">
        <f t="shared" si="19"/>
        <v>50.86798665314341</v>
      </c>
    </row>
    <row r="194" spans="1:19" ht="15">
      <c r="A194" s="6">
        <v>191</v>
      </c>
      <c r="B194" s="38" t="s">
        <v>17</v>
      </c>
      <c r="C194" s="6">
        <v>20</v>
      </c>
      <c r="D194" s="38" t="s">
        <v>38</v>
      </c>
      <c r="E194" s="54">
        <v>45</v>
      </c>
      <c r="F194" s="54">
        <v>1978</v>
      </c>
      <c r="G194" s="54">
        <v>2693.7</v>
      </c>
      <c r="H194" s="54">
        <v>2150.6</v>
      </c>
      <c r="I194" s="54"/>
      <c r="J194" s="55">
        <v>206.58</v>
      </c>
      <c r="K194" s="56">
        <v>195.62</v>
      </c>
      <c r="L194" s="55">
        <v>176.28</v>
      </c>
      <c r="M194" s="57">
        <f t="shared" si="26"/>
        <v>192.82666666666668</v>
      </c>
      <c r="N194" s="58">
        <f t="shared" si="20"/>
        <v>89.6617998078056</v>
      </c>
      <c r="O194" s="55">
        <v>108.59</v>
      </c>
      <c r="P194" s="56">
        <v>122.38</v>
      </c>
      <c r="Q194" s="55">
        <v>119.84</v>
      </c>
      <c r="R194" s="57">
        <f t="shared" si="21"/>
        <v>116.93666666666667</v>
      </c>
      <c r="S194" s="58">
        <f t="shared" si="19"/>
        <v>54.37397315477852</v>
      </c>
    </row>
    <row r="195" spans="1:19" ht="15">
      <c r="A195" s="6">
        <v>192</v>
      </c>
      <c r="B195" s="38" t="s">
        <v>17</v>
      </c>
      <c r="C195" s="6">
        <v>28</v>
      </c>
      <c r="D195" s="38" t="s">
        <v>38</v>
      </c>
      <c r="E195" s="54">
        <v>66</v>
      </c>
      <c r="F195" s="54">
        <v>1979</v>
      </c>
      <c r="G195" s="54">
        <v>4669.8</v>
      </c>
      <c r="H195" s="54">
        <v>3471</v>
      </c>
      <c r="I195" s="54"/>
      <c r="J195" s="55">
        <v>470.77</v>
      </c>
      <c r="K195" s="56">
        <v>496.21</v>
      </c>
      <c r="L195" s="55">
        <v>446.94</v>
      </c>
      <c r="M195" s="57">
        <f t="shared" si="26"/>
        <v>471.3066666666667</v>
      </c>
      <c r="N195" s="58">
        <f t="shared" si="20"/>
        <v>135.7841160088351</v>
      </c>
      <c r="O195" s="55">
        <v>208.22</v>
      </c>
      <c r="P195" s="56">
        <v>196.79</v>
      </c>
      <c r="Q195" s="55">
        <v>201.96</v>
      </c>
      <c r="R195" s="57">
        <f t="shared" si="21"/>
        <v>202.32333333333335</v>
      </c>
      <c r="S195" s="58">
        <f t="shared" si="19"/>
        <v>58.28963795255931</v>
      </c>
    </row>
    <row r="196" spans="1:19" ht="15">
      <c r="A196" s="6">
        <v>193</v>
      </c>
      <c r="B196" s="38" t="s">
        <v>17</v>
      </c>
      <c r="C196" s="6">
        <v>30</v>
      </c>
      <c r="D196" s="38" t="s">
        <v>38</v>
      </c>
      <c r="E196" s="54">
        <v>84</v>
      </c>
      <c r="F196" s="54">
        <v>1976</v>
      </c>
      <c r="G196" s="54">
        <v>5463.2</v>
      </c>
      <c r="H196" s="54">
        <f>2103.32+2005.63</f>
        <v>4108.950000000001</v>
      </c>
      <c r="I196" s="54"/>
      <c r="J196" s="55">
        <f>293.11+290.12</f>
        <v>583.23</v>
      </c>
      <c r="K196" s="56">
        <f>277.12+252.86</f>
        <v>529.98</v>
      </c>
      <c r="L196" s="55">
        <v>490.74</v>
      </c>
      <c r="M196" s="57">
        <f t="shared" si="26"/>
        <v>534.65</v>
      </c>
      <c r="N196" s="58">
        <f t="shared" si="20"/>
        <v>130.11840007787876</v>
      </c>
      <c r="O196" s="55">
        <f>135.89+122.38</f>
        <v>258.27</v>
      </c>
      <c r="P196" s="56">
        <f>121.12+141.12</f>
        <v>262.24</v>
      </c>
      <c r="Q196" s="55">
        <v>268.16</v>
      </c>
      <c r="R196" s="57">
        <f t="shared" si="21"/>
        <v>262.89000000000004</v>
      </c>
      <c r="S196" s="58">
        <f aca="true" t="shared" si="27" ref="S196:S259">R196/H196*1000</f>
        <v>63.97984886649874</v>
      </c>
    </row>
    <row r="197" spans="1:19" ht="15">
      <c r="A197" s="6">
        <v>194</v>
      </c>
      <c r="B197" s="38" t="s">
        <v>17</v>
      </c>
      <c r="C197" s="6">
        <v>32</v>
      </c>
      <c r="D197" s="38" t="s">
        <v>38</v>
      </c>
      <c r="E197" s="54">
        <v>70</v>
      </c>
      <c r="F197" s="54">
        <v>1979</v>
      </c>
      <c r="G197" s="54">
        <v>4741.3</v>
      </c>
      <c r="H197" s="54">
        <v>3467.95</v>
      </c>
      <c r="I197" s="54"/>
      <c r="J197" s="55">
        <v>446.85</v>
      </c>
      <c r="K197" s="56">
        <v>422.25</v>
      </c>
      <c r="L197" s="55">
        <v>391.32</v>
      </c>
      <c r="M197" s="57">
        <f t="shared" si="26"/>
        <v>420.14000000000004</v>
      </c>
      <c r="N197" s="58">
        <f aca="true" t="shared" si="28" ref="N197:N208">M197/H197*1000</f>
        <v>121.14938219985872</v>
      </c>
      <c r="O197" s="55">
        <v>197.85</v>
      </c>
      <c r="P197" s="56">
        <v>198.75</v>
      </c>
      <c r="Q197" s="55">
        <v>217.48</v>
      </c>
      <c r="R197" s="57">
        <f t="shared" si="21"/>
        <v>204.69333333333336</v>
      </c>
      <c r="S197" s="58">
        <f t="shared" si="27"/>
        <v>59.02430350303014</v>
      </c>
    </row>
    <row r="198" spans="1:19" ht="15">
      <c r="A198" s="6">
        <v>195</v>
      </c>
      <c r="B198" s="38" t="s">
        <v>17</v>
      </c>
      <c r="C198" s="6">
        <v>34</v>
      </c>
      <c r="D198" s="38" t="s">
        <v>38</v>
      </c>
      <c r="E198" s="54">
        <v>17</v>
      </c>
      <c r="F198" s="54"/>
      <c r="G198" s="54"/>
      <c r="H198" s="54">
        <v>1378.9</v>
      </c>
      <c r="I198" s="54"/>
      <c r="J198" s="55">
        <v>238.14</v>
      </c>
      <c r="K198" s="56">
        <v>185.02</v>
      </c>
      <c r="L198" s="55">
        <v>156.31</v>
      </c>
      <c r="M198" s="57">
        <f t="shared" si="26"/>
        <v>193.15666666666667</v>
      </c>
      <c r="N198" s="58">
        <f t="shared" si="28"/>
        <v>140.08025720985327</v>
      </c>
      <c r="O198" s="55">
        <v>83.64</v>
      </c>
      <c r="P198" s="56">
        <v>86.98</v>
      </c>
      <c r="Q198" s="55">
        <v>88.15</v>
      </c>
      <c r="R198" s="57">
        <f aca="true" t="shared" si="29" ref="R198:R261">(O198+P198+Q198)/3</f>
        <v>86.25666666666666</v>
      </c>
      <c r="S198" s="58">
        <f t="shared" si="27"/>
        <v>62.55469335460632</v>
      </c>
    </row>
    <row r="199" spans="1:19" ht="15">
      <c r="A199" s="6">
        <v>196</v>
      </c>
      <c r="B199" s="38" t="s">
        <v>17</v>
      </c>
      <c r="C199" s="6">
        <v>36</v>
      </c>
      <c r="D199" s="38" t="s">
        <v>38</v>
      </c>
      <c r="E199" s="54">
        <v>42</v>
      </c>
      <c r="F199" s="54">
        <v>1980</v>
      </c>
      <c r="G199" s="54">
        <v>2832.6</v>
      </c>
      <c r="H199" s="54">
        <v>2052.35</v>
      </c>
      <c r="I199" s="54"/>
      <c r="J199" s="55">
        <v>313.32</v>
      </c>
      <c r="K199" s="56">
        <v>288.29</v>
      </c>
      <c r="L199" s="55">
        <v>253.92</v>
      </c>
      <c r="M199" s="57">
        <f t="shared" si="26"/>
        <v>285.1766666666667</v>
      </c>
      <c r="N199" s="58">
        <f t="shared" si="28"/>
        <v>138.95128348803408</v>
      </c>
      <c r="O199" s="55">
        <v>108.68</v>
      </c>
      <c r="P199" s="56">
        <v>114.81</v>
      </c>
      <c r="Q199" s="55">
        <v>119.78</v>
      </c>
      <c r="R199" s="57">
        <f t="shared" si="29"/>
        <v>114.42333333333333</v>
      </c>
      <c r="S199" s="58">
        <f t="shared" si="27"/>
        <v>55.752348933336584</v>
      </c>
    </row>
    <row r="200" spans="1:19" ht="15">
      <c r="A200" s="6">
        <v>197</v>
      </c>
      <c r="B200" s="38" t="s">
        <v>17</v>
      </c>
      <c r="C200" s="6">
        <v>40</v>
      </c>
      <c r="D200" s="38" t="s">
        <v>38</v>
      </c>
      <c r="E200" s="54"/>
      <c r="F200" s="54"/>
      <c r="G200" s="54"/>
      <c r="H200" s="54">
        <v>210.9</v>
      </c>
      <c r="I200" s="54"/>
      <c r="J200" s="55">
        <v>49.86</v>
      </c>
      <c r="K200" s="56">
        <v>45.21</v>
      </c>
      <c r="L200" s="55">
        <v>38.47</v>
      </c>
      <c r="M200" s="57">
        <f t="shared" si="26"/>
        <v>44.51333333333334</v>
      </c>
      <c r="N200" s="58">
        <f t="shared" si="28"/>
        <v>211.06369527422163</v>
      </c>
      <c r="O200" s="55">
        <v>10.95</v>
      </c>
      <c r="P200" s="56">
        <v>7.06</v>
      </c>
      <c r="Q200" s="55">
        <v>8.4</v>
      </c>
      <c r="R200" s="57">
        <f t="shared" si="29"/>
        <v>8.803333333333333</v>
      </c>
      <c r="S200" s="58">
        <f t="shared" si="27"/>
        <v>41.741741741741734</v>
      </c>
    </row>
    <row r="201" spans="1:19" ht="15">
      <c r="A201" s="6">
        <v>198</v>
      </c>
      <c r="B201" s="38" t="s">
        <v>17</v>
      </c>
      <c r="C201" s="6">
        <v>42</v>
      </c>
      <c r="D201" s="38" t="s">
        <v>38</v>
      </c>
      <c r="E201" s="54"/>
      <c r="F201" s="54">
        <v>1986</v>
      </c>
      <c r="G201" s="54">
        <v>3950.1</v>
      </c>
      <c r="H201" s="54">
        <v>2601.7</v>
      </c>
      <c r="I201" s="54"/>
      <c r="J201" s="55">
        <v>287.5</v>
      </c>
      <c r="K201" s="56">
        <v>279.16</v>
      </c>
      <c r="L201" s="55">
        <v>225.79</v>
      </c>
      <c r="M201" s="57">
        <f t="shared" si="26"/>
        <v>264.15000000000003</v>
      </c>
      <c r="N201" s="58">
        <f t="shared" si="28"/>
        <v>101.52976899719417</v>
      </c>
      <c r="O201" s="55">
        <v>152.5</v>
      </c>
      <c r="P201" s="56">
        <v>145.24</v>
      </c>
      <c r="Q201" s="55">
        <v>147.31</v>
      </c>
      <c r="R201" s="57">
        <f t="shared" si="29"/>
        <v>148.35</v>
      </c>
      <c r="S201" s="58">
        <f t="shared" si="27"/>
        <v>57.020409732098244</v>
      </c>
    </row>
    <row r="202" spans="1:19" ht="15">
      <c r="A202" s="6">
        <v>199</v>
      </c>
      <c r="B202" s="38" t="s">
        <v>17</v>
      </c>
      <c r="C202" s="6">
        <v>43</v>
      </c>
      <c r="D202" s="38" t="s">
        <v>38</v>
      </c>
      <c r="E202" s="54">
        <v>74</v>
      </c>
      <c r="F202" s="54">
        <v>1985</v>
      </c>
      <c r="G202" s="54">
        <v>4040</v>
      </c>
      <c r="H202" s="54">
        <v>2634.2</v>
      </c>
      <c r="I202" s="54"/>
      <c r="J202" s="55">
        <v>351.88</v>
      </c>
      <c r="K202" s="56">
        <v>343.25</v>
      </c>
      <c r="L202" s="55">
        <v>277.68</v>
      </c>
      <c r="M202" s="57">
        <f t="shared" si="26"/>
        <v>324.27000000000004</v>
      </c>
      <c r="N202" s="58">
        <f t="shared" si="28"/>
        <v>123.09999240756208</v>
      </c>
      <c r="O202" s="55">
        <v>137.12</v>
      </c>
      <c r="P202" s="56">
        <v>133.35</v>
      </c>
      <c r="Q202" s="55">
        <v>122.22</v>
      </c>
      <c r="R202" s="57">
        <f t="shared" si="29"/>
        <v>130.89666666666668</v>
      </c>
      <c r="S202" s="58">
        <f t="shared" si="27"/>
        <v>49.69124085743933</v>
      </c>
    </row>
    <row r="203" spans="1:19" ht="15">
      <c r="A203" s="6">
        <v>200</v>
      </c>
      <c r="B203" s="38" t="s">
        <v>17</v>
      </c>
      <c r="C203" s="6">
        <v>46</v>
      </c>
      <c r="D203" s="38" t="s">
        <v>38</v>
      </c>
      <c r="E203" s="54">
        <v>66</v>
      </c>
      <c r="F203" s="54">
        <v>1980</v>
      </c>
      <c r="G203" s="54">
        <v>4759.9</v>
      </c>
      <c r="H203" s="54">
        <f>1357.05+1874.86</f>
        <v>3231.91</v>
      </c>
      <c r="I203" s="54"/>
      <c r="J203" s="55">
        <f>210.79+310.49</f>
        <v>521.28</v>
      </c>
      <c r="K203" s="56">
        <f>187.59+292.53</f>
        <v>480.12</v>
      </c>
      <c r="L203" s="55">
        <v>428.89</v>
      </c>
      <c r="M203" s="57">
        <f t="shared" si="26"/>
        <v>476.7633333333333</v>
      </c>
      <c r="N203" s="58">
        <f t="shared" si="28"/>
        <v>147.51751544236484</v>
      </c>
      <c r="O203" s="55">
        <f>89.21+111.31</f>
        <v>200.51999999999998</v>
      </c>
      <c r="P203" s="56">
        <f>85.35+118.47</f>
        <v>203.82</v>
      </c>
      <c r="Q203" s="55">
        <v>197.32</v>
      </c>
      <c r="R203" s="57">
        <f t="shared" si="29"/>
        <v>200.5533333333333</v>
      </c>
      <c r="S203" s="58">
        <f t="shared" si="27"/>
        <v>62.054120731497264</v>
      </c>
    </row>
    <row r="204" spans="1:19" ht="15">
      <c r="A204" s="6">
        <v>201</v>
      </c>
      <c r="B204" s="38" t="s">
        <v>17</v>
      </c>
      <c r="C204" s="6" t="s">
        <v>74</v>
      </c>
      <c r="D204" s="38" t="s">
        <v>38</v>
      </c>
      <c r="E204" s="54">
        <v>117</v>
      </c>
      <c r="F204" s="54">
        <v>1985</v>
      </c>
      <c r="G204" s="54">
        <v>6864.1</v>
      </c>
      <c r="H204" s="54">
        <f>35.5+4364.81</f>
        <v>4400.31</v>
      </c>
      <c r="I204" s="54"/>
      <c r="J204" s="55">
        <f>5.58+685.93</f>
        <v>691.51</v>
      </c>
      <c r="K204" s="69">
        <v>633.828</v>
      </c>
      <c r="L204" s="70">
        <v>582.58</v>
      </c>
      <c r="M204" s="57">
        <f t="shared" si="26"/>
        <v>635.9726666666667</v>
      </c>
      <c r="N204" s="58">
        <f t="shared" si="28"/>
        <v>144.52905969503664</v>
      </c>
      <c r="O204" s="55">
        <f>1.13+276.86</f>
        <v>277.99</v>
      </c>
      <c r="P204" s="69">
        <v>298.972</v>
      </c>
      <c r="Q204" s="70">
        <v>291.76</v>
      </c>
      <c r="R204" s="57">
        <f t="shared" si="29"/>
        <v>289.574</v>
      </c>
      <c r="S204" s="58">
        <f t="shared" si="27"/>
        <v>65.80763628017117</v>
      </c>
    </row>
    <row r="205" spans="1:19" ht="15">
      <c r="A205" s="6">
        <v>202</v>
      </c>
      <c r="B205" s="53" t="s">
        <v>17</v>
      </c>
      <c r="C205" s="12" t="s">
        <v>119</v>
      </c>
      <c r="D205" s="38"/>
      <c r="E205" s="54"/>
      <c r="F205" s="54"/>
      <c r="G205" s="62">
        <v>2128.45</v>
      </c>
      <c r="H205" s="62">
        <v>1883.89</v>
      </c>
      <c r="I205" s="54"/>
      <c r="J205" s="60">
        <v>284.43</v>
      </c>
      <c r="K205" s="55">
        <v>243.22</v>
      </c>
      <c r="L205" s="60">
        <v>224.49470317427955</v>
      </c>
      <c r="M205" s="57">
        <f aca="true" t="shared" si="30" ref="M205:M212">(L205+K205+J205)/3</f>
        <v>250.7149010580932</v>
      </c>
      <c r="N205" s="58">
        <f t="shared" si="28"/>
        <v>133.08362009357936</v>
      </c>
      <c r="O205" s="60">
        <v>100.57</v>
      </c>
      <c r="P205" s="55">
        <v>107.93</v>
      </c>
      <c r="Q205" s="60">
        <v>108.60529682572081</v>
      </c>
      <c r="R205" s="57">
        <f t="shared" si="29"/>
        <v>105.70176560857361</v>
      </c>
      <c r="S205" s="58">
        <f t="shared" si="27"/>
        <v>56.10824708904108</v>
      </c>
    </row>
    <row r="206" spans="1:19" ht="15">
      <c r="A206" s="6">
        <v>203</v>
      </c>
      <c r="B206" s="53" t="s">
        <v>17</v>
      </c>
      <c r="C206" s="12" t="s">
        <v>120</v>
      </c>
      <c r="D206" s="38"/>
      <c r="E206" s="54"/>
      <c r="F206" s="54"/>
      <c r="G206" s="62">
        <v>3473.6</v>
      </c>
      <c r="H206" s="62">
        <v>3052.2</v>
      </c>
      <c r="I206" s="54"/>
      <c r="J206" s="60">
        <v>486.31</v>
      </c>
      <c r="K206" s="55">
        <v>441.83</v>
      </c>
      <c r="L206" s="60">
        <v>404.74716675406273</v>
      </c>
      <c r="M206" s="57">
        <f t="shared" si="30"/>
        <v>444.2957222513542</v>
      </c>
      <c r="N206" s="58">
        <f t="shared" si="28"/>
        <v>145.5657303752553</v>
      </c>
      <c r="O206" s="60">
        <v>212.69</v>
      </c>
      <c r="P206" s="55">
        <v>178.97</v>
      </c>
      <c r="Q206" s="60">
        <v>184.25283324593727</v>
      </c>
      <c r="R206" s="57">
        <f t="shared" si="29"/>
        <v>191.9709444153124</v>
      </c>
      <c r="S206" s="58">
        <f t="shared" si="27"/>
        <v>62.89592569795964</v>
      </c>
    </row>
    <row r="207" spans="1:19" ht="15">
      <c r="A207" s="6">
        <v>204</v>
      </c>
      <c r="B207" s="38" t="s">
        <v>75</v>
      </c>
      <c r="C207" s="6">
        <v>2</v>
      </c>
      <c r="D207" s="38" t="s">
        <v>38</v>
      </c>
      <c r="E207" s="54">
        <v>40</v>
      </c>
      <c r="F207" s="54">
        <v>1987</v>
      </c>
      <c r="G207" s="54">
        <v>2372.2</v>
      </c>
      <c r="H207" s="54">
        <v>2077.8</v>
      </c>
      <c r="I207" s="54"/>
      <c r="J207" s="55">
        <v>309.82</v>
      </c>
      <c r="K207" s="56">
        <v>311.96</v>
      </c>
      <c r="L207" s="55">
        <v>253.35</v>
      </c>
      <c r="M207" s="57">
        <f t="shared" si="30"/>
        <v>291.71</v>
      </c>
      <c r="N207" s="58">
        <f t="shared" si="28"/>
        <v>140.39368562903067</v>
      </c>
      <c r="O207" s="55">
        <v>121.56</v>
      </c>
      <c r="P207" s="56">
        <v>136.24</v>
      </c>
      <c r="Q207" s="55">
        <v>132.37</v>
      </c>
      <c r="R207" s="57">
        <f t="shared" si="29"/>
        <v>130.05666666666667</v>
      </c>
      <c r="S207" s="58">
        <f t="shared" si="27"/>
        <v>62.59344819841499</v>
      </c>
    </row>
    <row r="208" spans="1:19" ht="15">
      <c r="A208" s="6">
        <v>205</v>
      </c>
      <c r="B208" s="38" t="s">
        <v>75</v>
      </c>
      <c r="C208" s="6">
        <v>4</v>
      </c>
      <c r="D208" s="38" t="s">
        <v>38</v>
      </c>
      <c r="E208" s="54">
        <v>22</v>
      </c>
      <c r="F208" s="54"/>
      <c r="G208" s="59"/>
      <c r="H208" s="54">
        <v>1140.86</v>
      </c>
      <c r="I208" s="54"/>
      <c r="J208" s="55">
        <v>209.32</v>
      </c>
      <c r="K208" s="56">
        <v>206.56</v>
      </c>
      <c r="L208" s="55">
        <v>190.05</v>
      </c>
      <c r="M208" s="57">
        <f t="shared" si="30"/>
        <v>201.9766666666667</v>
      </c>
      <c r="N208" s="58">
        <f t="shared" si="28"/>
        <v>177.03895891403565</v>
      </c>
      <c r="O208" s="55">
        <v>86.38</v>
      </c>
      <c r="P208" s="56">
        <v>88.17</v>
      </c>
      <c r="Q208" s="55">
        <v>92.75</v>
      </c>
      <c r="R208" s="57">
        <f t="shared" si="29"/>
        <v>89.10000000000001</v>
      </c>
      <c r="S208" s="58">
        <f t="shared" si="27"/>
        <v>78.0989779639921</v>
      </c>
    </row>
    <row r="209" spans="1:19" ht="15">
      <c r="A209" s="6">
        <v>206</v>
      </c>
      <c r="B209" s="38" t="s">
        <v>76</v>
      </c>
      <c r="C209" s="6">
        <v>10</v>
      </c>
      <c r="D209" s="38" t="s">
        <v>38</v>
      </c>
      <c r="E209" s="54">
        <v>125</v>
      </c>
      <c r="F209" s="54">
        <v>1991</v>
      </c>
      <c r="G209" s="54">
        <v>8432.4</v>
      </c>
      <c r="H209" s="54">
        <f>2117.59+2111.82+2132.16</f>
        <v>6361.57</v>
      </c>
      <c r="I209" s="54"/>
      <c r="J209" s="55">
        <f>318.08+277.16+313.8</f>
        <v>909.04</v>
      </c>
      <c r="K209" s="56">
        <f>321.02+275.04+327.69</f>
        <v>923.75</v>
      </c>
      <c r="L209" s="55">
        <v>779.77</v>
      </c>
      <c r="M209" s="57">
        <f t="shared" si="30"/>
        <v>870.8533333333334</v>
      </c>
      <c r="N209" s="58">
        <f>K209/H209*1000</f>
        <v>145.2078653539928</v>
      </c>
      <c r="O209" s="55">
        <f>143.68+107.23+134.29</f>
        <v>385.20000000000005</v>
      </c>
      <c r="P209" s="56">
        <f>132.39+110.03+136.25</f>
        <v>378.66999999999996</v>
      </c>
      <c r="Q209" s="55">
        <v>394.73</v>
      </c>
      <c r="R209" s="57">
        <f t="shared" si="29"/>
        <v>386.2</v>
      </c>
      <c r="S209" s="58">
        <f t="shared" si="27"/>
        <v>60.708284275736965</v>
      </c>
    </row>
    <row r="210" spans="1:19" ht="15">
      <c r="A210" s="6">
        <v>207</v>
      </c>
      <c r="B210" s="49" t="s">
        <v>77</v>
      </c>
      <c r="C210" s="11" t="s">
        <v>78</v>
      </c>
      <c r="D210" s="38"/>
      <c r="E210" s="54"/>
      <c r="F210" s="54">
        <v>1980</v>
      </c>
      <c r="G210" s="54">
        <v>7956.3</v>
      </c>
      <c r="H210" s="61">
        <v>5942.19</v>
      </c>
      <c r="I210" s="54"/>
      <c r="J210" s="61">
        <v>732.5</v>
      </c>
      <c r="K210" s="55">
        <v>641.17</v>
      </c>
      <c r="L210" s="61">
        <v>690.31</v>
      </c>
      <c r="M210" s="57">
        <f t="shared" si="30"/>
        <v>687.9933333333333</v>
      </c>
      <c r="N210" s="58">
        <f aca="true" t="shared" si="31" ref="N210:N220">M210/H210*1000</f>
        <v>115.78110651684537</v>
      </c>
      <c r="O210" s="61">
        <v>354.35</v>
      </c>
      <c r="P210" s="55">
        <v>356.5</v>
      </c>
      <c r="Q210" s="61">
        <v>273.15</v>
      </c>
      <c r="R210" s="57">
        <f t="shared" si="29"/>
        <v>328</v>
      </c>
      <c r="S210" s="58">
        <f t="shared" si="27"/>
        <v>55.19850425516519</v>
      </c>
    </row>
    <row r="211" spans="1:19" ht="15">
      <c r="A211" s="6">
        <v>208</v>
      </c>
      <c r="B211" s="38" t="s">
        <v>18</v>
      </c>
      <c r="C211" s="6">
        <v>33</v>
      </c>
      <c r="D211" s="38" t="s">
        <v>8</v>
      </c>
      <c r="E211" s="54">
        <v>33</v>
      </c>
      <c r="F211" s="54"/>
      <c r="G211" s="54">
        <v>1323.2</v>
      </c>
      <c r="H211" s="66">
        <v>1214.88</v>
      </c>
      <c r="I211" s="54">
        <v>60</v>
      </c>
      <c r="J211" s="61">
        <v>172.77</v>
      </c>
      <c r="K211" s="55">
        <v>145.95</v>
      </c>
      <c r="L211" s="61">
        <v>127.59</v>
      </c>
      <c r="M211" s="57">
        <f t="shared" si="30"/>
        <v>148.76999999999998</v>
      </c>
      <c r="N211" s="58">
        <f t="shared" si="31"/>
        <v>122.45653891742391</v>
      </c>
      <c r="O211" s="61">
        <v>47.86</v>
      </c>
      <c r="P211" s="55">
        <v>45.86</v>
      </c>
      <c r="Q211" s="61">
        <v>43.7</v>
      </c>
      <c r="R211" s="57">
        <f t="shared" si="29"/>
        <v>45.80666666666667</v>
      </c>
      <c r="S211" s="58">
        <f t="shared" si="27"/>
        <v>37.704684138899864</v>
      </c>
    </row>
    <row r="212" spans="1:19" ht="15">
      <c r="A212" s="6">
        <v>209</v>
      </c>
      <c r="B212" s="38" t="s">
        <v>18</v>
      </c>
      <c r="C212" s="6">
        <v>35</v>
      </c>
      <c r="D212" s="38" t="s">
        <v>8</v>
      </c>
      <c r="E212" s="54">
        <v>34</v>
      </c>
      <c r="F212" s="54"/>
      <c r="G212" s="54">
        <v>1305.7</v>
      </c>
      <c r="H212" s="59">
        <v>1263.05</v>
      </c>
      <c r="I212" s="54">
        <v>56</v>
      </c>
      <c r="J212" s="60">
        <v>202.98</v>
      </c>
      <c r="K212" s="55">
        <v>178.57</v>
      </c>
      <c r="L212" s="60">
        <v>163.9108973946623</v>
      </c>
      <c r="M212" s="57">
        <f t="shared" si="30"/>
        <v>181.8202991315541</v>
      </c>
      <c r="N212" s="58">
        <f t="shared" si="31"/>
        <v>143.9533661625067</v>
      </c>
      <c r="O212" s="60">
        <v>51.61</v>
      </c>
      <c r="P212" s="55">
        <v>43.6</v>
      </c>
      <c r="Q212" s="60">
        <v>47.70910260533779</v>
      </c>
      <c r="R212" s="57">
        <f t="shared" si="29"/>
        <v>47.639700868445935</v>
      </c>
      <c r="S212" s="58">
        <f t="shared" si="27"/>
        <v>37.71798493206598</v>
      </c>
    </row>
    <row r="213" spans="1:19" ht="15">
      <c r="A213" s="6">
        <v>210</v>
      </c>
      <c r="B213" s="38" t="s">
        <v>18</v>
      </c>
      <c r="C213" s="6">
        <v>18</v>
      </c>
      <c r="D213" s="38" t="s">
        <v>38</v>
      </c>
      <c r="E213" s="54">
        <v>78</v>
      </c>
      <c r="F213" s="54">
        <v>1966</v>
      </c>
      <c r="G213" s="54">
        <v>5020.6</v>
      </c>
      <c r="H213" s="54">
        <f>128.66+3415.12</f>
        <v>3543.7799999999997</v>
      </c>
      <c r="I213" s="54"/>
      <c r="J213" s="55">
        <f>493.85+18.6</f>
        <v>512.45</v>
      </c>
      <c r="K213" s="56">
        <f>17+451.04</f>
        <v>468.04</v>
      </c>
      <c r="L213" s="55">
        <v>457.26</v>
      </c>
      <c r="M213" s="57">
        <f aca="true" t="shared" si="32" ref="M213:M222">(L213+K213+J213)/3</f>
        <v>479.25</v>
      </c>
      <c r="N213" s="58">
        <f t="shared" si="31"/>
        <v>135.2369503750233</v>
      </c>
      <c r="O213" s="55">
        <v>200.28</v>
      </c>
      <c r="P213" s="56">
        <v>190.03</v>
      </c>
      <c r="Q213" s="55">
        <v>200.58</v>
      </c>
      <c r="R213" s="57">
        <f t="shared" si="29"/>
        <v>196.96333333333334</v>
      </c>
      <c r="S213" s="58">
        <f t="shared" si="27"/>
        <v>55.58001155075466</v>
      </c>
    </row>
    <row r="214" spans="1:19" ht="26.25" customHeight="1">
      <c r="A214" s="6">
        <v>211</v>
      </c>
      <c r="B214" s="38" t="s">
        <v>18</v>
      </c>
      <c r="C214" s="6">
        <v>20</v>
      </c>
      <c r="D214" s="38" t="s">
        <v>38</v>
      </c>
      <c r="E214" s="54">
        <v>40</v>
      </c>
      <c r="F214" s="54"/>
      <c r="G214" s="54"/>
      <c r="H214" s="54">
        <f>1634.28+194.18+109.98</f>
        <v>1938.44</v>
      </c>
      <c r="I214" s="54"/>
      <c r="J214" s="55">
        <f>2.44+13.58+201.92</f>
        <v>217.94</v>
      </c>
      <c r="K214" s="56">
        <f>188.2+22.35+12.67</f>
        <v>223.21999999999997</v>
      </c>
      <c r="L214" s="55">
        <v>210.21</v>
      </c>
      <c r="M214" s="57">
        <f t="shared" si="32"/>
        <v>217.1233333333333</v>
      </c>
      <c r="N214" s="58">
        <f t="shared" si="31"/>
        <v>112.00931333099466</v>
      </c>
      <c r="O214" s="55">
        <f>98.83</f>
        <v>98.83</v>
      </c>
      <c r="P214" s="56">
        <f>88.68</f>
        <v>88.68</v>
      </c>
      <c r="Q214" s="55">
        <v>91.39</v>
      </c>
      <c r="R214" s="57">
        <f t="shared" si="29"/>
        <v>92.96666666666665</v>
      </c>
      <c r="S214" s="58">
        <f t="shared" si="27"/>
        <v>47.959527592634615</v>
      </c>
    </row>
    <row r="215" spans="1:19" ht="20.25" customHeight="1">
      <c r="A215" s="6">
        <v>212</v>
      </c>
      <c r="B215" s="38" t="s">
        <v>18</v>
      </c>
      <c r="C215" s="6">
        <v>24</v>
      </c>
      <c r="D215" s="38" t="s">
        <v>38</v>
      </c>
      <c r="E215" s="54">
        <v>37</v>
      </c>
      <c r="F215" s="54"/>
      <c r="G215" s="59">
        <v>1891.3</v>
      </c>
      <c r="H215" s="54">
        <v>1333.79</v>
      </c>
      <c r="I215" s="54"/>
      <c r="J215" s="55">
        <v>206.96</v>
      </c>
      <c r="K215" s="56">
        <v>226.15</v>
      </c>
      <c r="L215" s="55">
        <v>185.84</v>
      </c>
      <c r="M215" s="57">
        <f t="shared" si="32"/>
        <v>206.3166666666667</v>
      </c>
      <c r="N215" s="58">
        <f t="shared" si="31"/>
        <v>154.68452055171105</v>
      </c>
      <c r="O215" s="55">
        <v>63.44</v>
      </c>
      <c r="P215" s="56">
        <v>57.51</v>
      </c>
      <c r="Q215" s="55">
        <v>52.73</v>
      </c>
      <c r="R215" s="57">
        <f t="shared" si="29"/>
        <v>57.893333333333324</v>
      </c>
      <c r="S215" s="58">
        <f t="shared" si="27"/>
        <v>43.40513374169346</v>
      </c>
    </row>
    <row r="216" spans="1:19" ht="20.25" customHeight="1">
      <c r="A216" s="6">
        <v>213</v>
      </c>
      <c r="B216" s="38" t="s">
        <v>18</v>
      </c>
      <c r="C216" s="6">
        <v>34</v>
      </c>
      <c r="D216" s="38" t="s">
        <v>38</v>
      </c>
      <c r="E216" s="54">
        <v>67</v>
      </c>
      <c r="F216" s="54">
        <v>1989</v>
      </c>
      <c r="G216" s="54">
        <v>5140.8</v>
      </c>
      <c r="H216" s="54">
        <f>42.1+3667.83</f>
        <v>3709.93</v>
      </c>
      <c r="I216" s="54"/>
      <c r="J216" s="55">
        <v>568.9</v>
      </c>
      <c r="K216" s="56">
        <f>0.66+548.505</f>
        <v>549.165</v>
      </c>
      <c r="L216" s="55">
        <v>380.18</v>
      </c>
      <c r="M216" s="57">
        <f t="shared" si="32"/>
        <v>499.41499999999996</v>
      </c>
      <c r="N216" s="58">
        <f t="shared" si="31"/>
        <v>134.61574746693333</v>
      </c>
      <c r="O216" s="55">
        <v>188.2</v>
      </c>
      <c r="P216" s="56">
        <f>0.055+187.78</f>
        <v>187.835</v>
      </c>
      <c r="Q216" s="55">
        <v>193.29</v>
      </c>
      <c r="R216" s="57">
        <f t="shared" si="29"/>
        <v>189.77499999999998</v>
      </c>
      <c r="S216" s="58">
        <f t="shared" si="27"/>
        <v>51.153256260899795</v>
      </c>
    </row>
    <row r="217" spans="1:19" ht="20.25" customHeight="1">
      <c r="A217" s="6">
        <v>214</v>
      </c>
      <c r="B217" s="38" t="s">
        <v>18</v>
      </c>
      <c r="C217" s="6">
        <v>36</v>
      </c>
      <c r="D217" s="38" t="s">
        <v>38</v>
      </c>
      <c r="E217" s="54">
        <v>68</v>
      </c>
      <c r="F217" s="54">
        <v>1988</v>
      </c>
      <c r="G217" s="54">
        <v>5009.8</v>
      </c>
      <c r="H217" s="54">
        <v>3656.8</v>
      </c>
      <c r="I217" s="54"/>
      <c r="J217" s="55">
        <v>449.28</v>
      </c>
      <c r="K217" s="56">
        <v>413.81</v>
      </c>
      <c r="L217" s="55">
        <v>362</v>
      </c>
      <c r="M217" s="57">
        <f t="shared" si="32"/>
        <v>408.3633333333333</v>
      </c>
      <c r="N217" s="58">
        <f t="shared" si="31"/>
        <v>111.67231823816815</v>
      </c>
      <c r="O217" s="55">
        <v>167.41</v>
      </c>
      <c r="P217" s="56">
        <v>182.29</v>
      </c>
      <c r="Q217" s="55">
        <v>183.38</v>
      </c>
      <c r="R217" s="57">
        <f t="shared" si="29"/>
        <v>177.6933333333333</v>
      </c>
      <c r="S217" s="58">
        <f t="shared" si="27"/>
        <v>48.59257638736963</v>
      </c>
    </row>
    <row r="218" spans="1:19" ht="20.25" customHeight="1">
      <c r="A218" s="6">
        <v>215</v>
      </c>
      <c r="B218" s="38" t="s">
        <v>18</v>
      </c>
      <c r="C218" s="6">
        <v>38</v>
      </c>
      <c r="D218" s="38" t="s">
        <v>38</v>
      </c>
      <c r="E218" s="54">
        <v>70</v>
      </c>
      <c r="F218" s="54">
        <v>1980</v>
      </c>
      <c r="G218" s="54">
        <v>5115.1</v>
      </c>
      <c r="H218" s="54">
        <f>3647.91+152.88+74.9</f>
        <v>3875.69</v>
      </c>
      <c r="I218" s="54"/>
      <c r="J218" s="55">
        <f>10.9+22.23+530.74</f>
        <v>563.87</v>
      </c>
      <c r="K218" s="56">
        <f>9.54+19.47+464.593</f>
        <v>493.603</v>
      </c>
      <c r="L218" s="55">
        <v>423.49</v>
      </c>
      <c r="M218" s="57">
        <f t="shared" si="32"/>
        <v>493.6543333333334</v>
      </c>
      <c r="N218" s="58">
        <f t="shared" si="31"/>
        <v>127.37198623556925</v>
      </c>
      <c r="O218" s="55">
        <f>2.67+177.09</f>
        <v>179.76</v>
      </c>
      <c r="P218" s="56">
        <f>2.127+0.44+195.45</f>
        <v>198.017</v>
      </c>
      <c r="Q218" s="55">
        <v>187.46</v>
      </c>
      <c r="R218" s="57">
        <f t="shared" si="29"/>
        <v>188.41233333333332</v>
      </c>
      <c r="S218" s="58">
        <f t="shared" si="27"/>
        <v>48.61388122717073</v>
      </c>
    </row>
    <row r="219" spans="1:19" ht="20.25" customHeight="1">
      <c r="A219" s="6">
        <v>216</v>
      </c>
      <c r="B219" s="38" t="s">
        <v>18</v>
      </c>
      <c r="C219" s="6">
        <v>41</v>
      </c>
      <c r="D219" s="38" t="s">
        <v>38</v>
      </c>
      <c r="E219" s="54">
        <v>27</v>
      </c>
      <c r="F219" s="54">
        <v>1959</v>
      </c>
      <c r="G219" s="59">
        <v>1525.3</v>
      </c>
      <c r="H219" s="54">
        <f>91.32+55.58+5.47+1021.18</f>
        <v>1173.55</v>
      </c>
      <c r="I219" s="54"/>
      <c r="J219" s="55">
        <f>14.46+8.79+0.87+161.77</f>
        <v>185.89000000000001</v>
      </c>
      <c r="K219" s="56">
        <f>14.7+8.94+0.88+164.3</f>
        <v>188.82000000000002</v>
      </c>
      <c r="L219" s="55">
        <v>171.86</v>
      </c>
      <c r="M219" s="57">
        <f t="shared" si="32"/>
        <v>182.19000000000003</v>
      </c>
      <c r="N219" s="58">
        <f t="shared" si="31"/>
        <v>155.2469004303183</v>
      </c>
      <c r="O219" s="55">
        <f>6.79+1.33+51.49</f>
        <v>59.61</v>
      </c>
      <c r="P219" s="56">
        <f>6.1+1.6+39.48</f>
        <v>47.17999999999999</v>
      </c>
      <c r="Q219" s="55">
        <v>42.54</v>
      </c>
      <c r="R219" s="57">
        <f t="shared" si="29"/>
        <v>49.776666666666664</v>
      </c>
      <c r="S219" s="58">
        <f t="shared" si="27"/>
        <v>42.41546305369747</v>
      </c>
    </row>
    <row r="220" spans="1:19" ht="20.25" customHeight="1">
      <c r="A220" s="6">
        <v>217</v>
      </c>
      <c r="B220" s="38" t="s">
        <v>18</v>
      </c>
      <c r="C220" s="6">
        <v>44</v>
      </c>
      <c r="D220" s="38"/>
      <c r="E220" s="54">
        <v>37</v>
      </c>
      <c r="F220" s="54"/>
      <c r="G220" s="59"/>
      <c r="H220" s="54">
        <v>1780.17</v>
      </c>
      <c r="I220" s="54"/>
      <c r="J220" s="55">
        <v>198.39</v>
      </c>
      <c r="K220" s="56">
        <v>218.5</v>
      </c>
      <c r="L220" s="55">
        <v>81.88</v>
      </c>
      <c r="M220" s="57">
        <f t="shared" si="32"/>
        <v>166.25666666666666</v>
      </c>
      <c r="N220" s="58">
        <f t="shared" si="31"/>
        <v>93.3937020996122</v>
      </c>
      <c r="O220" s="55">
        <v>68.46</v>
      </c>
      <c r="P220" s="56">
        <v>42.49</v>
      </c>
      <c r="Q220" s="55">
        <v>98.18</v>
      </c>
      <c r="R220" s="57">
        <f t="shared" si="29"/>
        <v>69.71</v>
      </c>
      <c r="S220" s="58">
        <f t="shared" si="27"/>
        <v>39.159181426492964</v>
      </c>
    </row>
    <row r="221" spans="1:19" ht="20.25" customHeight="1">
      <c r="A221" s="6">
        <v>218</v>
      </c>
      <c r="B221" s="38" t="s">
        <v>18</v>
      </c>
      <c r="C221" s="6">
        <v>45</v>
      </c>
      <c r="D221" s="38" t="s">
        <v>38</v>
      </c>
      <c r="E221" s="54">
        <v>14</v>
      </c>
      <c r="F221" s="54"/>
      <c r="G221" s="59"/>
      <c r="H221" s="54">
        <f>202.83+777.85</f>
        <v>980.6800000000001</v>
      </c>
      <c r="I221" s="54"/>
      <c r="J221" s="55">
        <f>35.75+136.78</f>
        <v>172.53</v>
      </c>
      <c r="K221" s="56">
        <f>35.5+135.58</f>
        <v>171.08</v>
      </c>
      <c r="L221" s="55">
        <v>155.02</v>
      </c>
      <c r="M221" s="57">
        <f t="shared" si="32"/>
        <v>166.21</v>
      </c>
      <c r="N221" s="58">
        <f aca="true" t="shared" si="33" ref="N221:N252">M221/H221*1000</f>
        <v>169.4844393686014</v>
      </c>
      <c r="O221" s="55">
        <f>37.39</f>
        <v>37.39</v>
      </c>
      <c r="P221" s="56">
        <v>39</v>
      </c>
      <c r="Q221" s="55">
        <v>35.04</v>
      </c>
      <c r="R221" s="57">
        <f t="shared" si="29"/>
        <v>37.14333333333334</v>
      </c>
      <c r="S221" s="58">
        <f t="shared" si="27"/>
        <v>37.87507987654825</v>
      </c>
    </row>
    <row r="222" spans="1:19" ht="20.25" customHeight="1">
      <c r="A222" s="6">
        <v>219</v>
      </c>
      <c r="B222" s="50" t="s">
        <v>18</v>
      </c>
      <c r="C222" s="13">
        <v>42</v>
      </c>
      <c r="D222" s="40" t="s">
        <v>43</v>
      </c>
      <c r="E222" s="73">
        <v>56</v>
      </c>
      <c r="F222" s="54"/>
      <c r="G222" s="65" t="s">
        <v>104</v>
      </c>
      <c r="H222" s="54">
        <v>2750.35</v>
      </c>
      <c r="I222" s="54"/>
      <c r="J222" s="60">
        <v>416.43</v>
      </c>
      <c r="K222" s="55">
        <v>305.39</v>
      </c>
      <c r="L222" s="60">
        <v>249.6295945508719</v>
      </c>
      <c r="M222" s="57">
        <f t="shared" si="32"/>
        <v>323.81653151695735</v>
      </c>
      <c r="N222" s="58">
        <f t="shared" si="33"/>
        <v>117.73648136308374</v>
      </c>
      <c r="O222" s="60">
        <v>183.09</v>
      </c>
      <c r="P222" s="56"/>
      <c r="Q222" s="60">
        <v>159.85040544912815</v>
      </c>
      <c r="R222" s="57">
        <f t="shared" si="29"/>
        <v>114.31346848304271</v>
      </c>
      <c r="S222" s="58">
        <f t="shared" si="27"/>
        <v>41.56324412639945</v>
      </c>
    </row>
    <row r="223" spans="1:19" s="4" customFormat="1" ht="20.25" customHeight="1">
      <c r="A223" s="2">
        <v>220</v>
      </c>
      <c r="B223" s="50" t="s">
        <v>18</v>
      </c>
      <c r="C223" s="45">
        <v>48</v>
      </c>
      <c r="D223" s="46" t="s">
        <v>43</v>
      </c>
      <c r="E223" s="74"/>
      <c r="F223" s="74"/>
      <c r="G223" s="75" t="s">
        <v>105</v>
      </c>
      <c r="H223" s="74">
        <v>977.6</v>
      </c>
      <c r="I223" s="74"/>
      <c r="J223" s="76">
        <v>36.68</v>
      </c>
      <c r="K223" s="77">
        <v>79.25</v>
      </c>
      <c r="L223" s="76">
        <v>0</v>
      </c>
      <c r="M223" s="78">
        <f aca="true" t="shared" si="34" ref="M223:M271">(L223+K223+J223)/3</f>
        <v>38.64333333333334</v>
      </c>
      <c r="N223" s="79">
        <f t="shared" si="33"/>
        <v>39.52877795962903</v>
      </c>
      <c r="O223" s="76">
        <v>0</v>
      </c>
      <c r="P223" s="77">
        <v>11.87</v>
      </c>
      <c r="Q223" s="76">
        <v>61.7</v>
      </c>
      <c r="R223" s="78">
        <f t="shared" si="29"/>
        <v>24.523333333333337</v>
      </c>
      <c r="S223" s="79">
        <f t="shared" si="27"/>
        <v>25.085242771412986</v>
      </c>
    </row>
    <row r="224" spans="1:19" ht="26.25">
      <c r="A224" s="6">
        <v>221</v>
      </c>
      <c r="B224" s="49" t="s">
        <v>18</v>
      </c>
      <c r="C224" s="11" t="s">
        <v>79</v>
      </c>
      <c r="D224" s="40" t="s">
        <v>80</v>
      </c>
      <c r="E224" s="54"/>
      <c r="F224" s="54">
        <v>1980</v>
      </c>
      <c r="G224" s="54">
        <v>3738.3</v>
      </c>
      <c r="H224" s="54">
        <v>486.32</v>
      </c>
      <c r="I224" s="54"/>
      <c r="J224" s="60">
        <v>89.56</v>
      </c>
      <c r="K224" s="55">
        <v>85.29</v>
      </c>
      <c r="L224" s="60">
        <v>82.8167071353214</v>
      </c>
      <c r="M224" s="57">
        <f t="shared" si="34"/>
        <v>85.88890237844048</v>
      </c>
      <c r="N224" s="58">
        <f t="shared" si="33"/>
        <v>176.6098502599944</v>
      </c>
      <c r="O224" s="60">
        <v>22.63</v>
      </c>
      <c r="P224" s="55">
        <v>21.36</v>
      </c>
      <c r="Q224" s="60">
        <v>20.678292864678575</v>
      </c>
      <c r="R224" s="57">
        <f t="shared" si="29"/>
        <v>21.55609762155952</v>
      </c>
      <c r="S224" s="58">
        <f t="shared" si="27"/>
        <v>44.32492519649515</v>
      </c>
    </row>
    <row r="225" spans="1:19" ht="15">
      <c r="A225" s="6">
        <v>222</v>
      </c>
      <c r="B225" s="49" t="s">
        <v>18</v>
      </c>
      <c r="C225" s="11" t="s">
        <v>124</v>
      </c>
      <c r="D225" s="40"/>
      <c r="E225" s="54"/>
      <c r="F225" s="54"/>
      <c r="G225" s="54"/>
      <c r="H225" s="54">
        <v>1094.1</v>
      </c>
      <c r="I225" s="54"/>
      <c r="J225" s="60">
        <v>145.97</v>
      </c>
      <c r="K225" s="55">
        <v>133.21</v>
      </c>
      <c r="L225" s="60">
        <v>134.25240000000002</v>
      </c>
      <c r="M225" s="57">
        <f t="shared" si="34"/>
        <v>137.8108</v>
      </c>
      <c r="N225" s="58">
        <f t="shared" si="33"/>
        <v>125.9581391097706</v>
      </c>
      <c r="O225" s="60">
        <v>46.87</v>
      </c>
      <c r="P225" s="55">
        <v>76.68</v>
      </c>
      <c r="Q225" s="60">
        <v>88.20183999999985</v>
      </c>
      <c r="R225" s="57">
        <f t="shared" si="29"/>
        <v>70.58394666666662</v>
      </c>
      <c r="S225" s="58">
        <f t="shared" si="27"/>
        <v>64.51324985528437</v>
      </c>
    </row>
    <row r="226" spans="1:19" ht="26.25">
      <c r="A226" s="6">
        <v>223</v>
      </c>
      <c r="B226" s="49" t="s">
        <v>18</v>
      </c>
      <c r="C226" s="11" t="s">
        <v>81</v>
      </c>
      <c r="D226" s="40" t="s">
        <v>80</v>
      </c>
      <c r="E226" s="54"/>
      <c r="F226" s="54"/>
      <c r="G226" s="54">
        <v>555.3</v>
      </c>
      <c r="H226" s="54">
        <v>439.22</v>
      </c>
      <c r="I226" s="54"/>
      <c r="J226" s="60">
        <v>85.88</v>
      </c>
      <c r="K226" s="55">
        <v>74.28</v>
      </c>
      <c r="L226" s="60">
        <v>71.44369233834043</v>
      </c>
      <c r="M226" s="57">
        <f t="shared" si="34"/>
        <v>77.2012307794468</v>
      </c>
      <c r="N226" s="58">
        <f t="shared" si="33"/>
        <v>175.76893306189788</v>
      </c>
      <c r="O226" s="60">
        <v>21.53</v>
      </c>
      <c r="P226" s="55">
        <v>20.29</v>
      </c>
      <c r="Q226" s="60">
        <v>21.285307661659584</v>
      </c>
      <c r="R226" s="57">
        <f t="shared" si="29"/>
        <v>21.035102553886528</v>
      </c>
      <c r="S226" s="58">
        <f t="shared" si="27"/>
        <v>47.89195062585157</v>
      </c>
    </row>
    <row r="227" spans="1:19" ht="15">
      <c r="A227" s="6">
        <v>224</v>
      </c>
      <c r="B227" s="38" t="s">
        <v>18</v>
      </c>
      <c r="C227" s="6">
        <v>55</v>
      </c>
      <c r="D227" s="38" t="s">
        <v>38</v>
      </c>
      <c r="E227" s="54">
        <v>30</v>
      </c>
      <c r="F227" s="54">
        <v>1969</v>
      </c>
      <c r="G227" s="54">
        <v>1890</v>
      </c>
      <c r="H227" s="54">
        <v>1334.38</v>
      </c>
      <c r="I227" s="54"/>
      <c r="J227" s="55">
        <v>162.23</v>
      </c>
      <c r="K227" s="56">
        <v>161.19</v>
      </c>
      <c r="L227" s="55">
        <v>153.33</v>
      </c>
      <c r="M227" s="57">
        <f t="shared" si="34"/>
        <v>158.91666666666666</v>
      </c>
      <c r="N227" s="58">
        <f t="shared" si="33"/>
        <v>119.09401120120704</v>
      </c>
      <c r="O227" s="55">
        <v>101.08</v>
      </c>
      <c r="P227" s="56">
        <v>92.54</v>
      </c>
      <c r="Q227" s="55">
        <v>88.2</v>
      </c>
      <c r="R227" s="57">
        <f t="shared" si="29"/>
        <v>93.94</v>
      </c>
      <c r="S227" s="58">
        <f t="shared" si="27"/>
        <v>70.39973620707744</v>
      </c>
    </row>
    <row r="228" spans="1:19" ht="15">
      <c r="A228" s="6">
        <v>225</v>
      </c>
      <c r="B228" s="38" t="s">
        <v>18</v>
      </c>
      <c r="C228" s="6">
        <v>57</v>
      </c>
      <c r="D228" s="38" t="s">
        <v>38</v>
      </c>
      <c r="E228" s="54">
        <v>33</v>
      </c>
      <c r="F228" s="54">
        <v>1969</v>
      </c>
      <c r="G228" s="54">
        <v>2214.4</v>
      </c>
      <c r="H228" s="54">
        <v>1616.27</v>
      </c>
      <c r="I228" s="54"/>
      <c r="J228" s="55">
        <v>241.26</v>
      </c>
      <c r="K228" s="56">
        <v>209.95</v>
      </c>
      <c r="L228" s="55">
        <v>190.08</v>
      </c>
      <c r="M228" s="57">
        <f t="shared" si="34"/>
        <v>213.76333333333332</v>
      </c>
      <c r="N228" s="58">
        <f t="shared" si="33"/>
        <v>132.2571930019943</v>
      </c>
      <c r="O228" s="55">
        <v>95.56</v>
      </c>
      <c r="P228" s="56">
        <v>82.47</v>
      </c>
      <c r="Q228" s="55">
        <v>83.14</v>
      </c>
      <c r="R228" s="57">
        <f t="shared" si="29"/>
        <v>87.05666666666667</v>
      </c>
      <c r="S228" s="58">
        <f t="shared" si="27"/>
        <v>53.86270033265894</v>
      </c>
    </row>
    <row r="229" spans="1:19" ht="15">
      <c r="A229" s="6">
        <v>226</v>
      </c>
      <c r="B229" s="38" t="s">
        <v>18</v>
      </c>
      <c r="C229" s="6">
        <v>59</v>
      </c>
      <c r="D229" s="38" t="s">
        <v>38</v>
      </c>
      <c r="E229" s="54">
        <v>30</v>
      </c>
      <c r="F229" s="54"/>
      <c r="G229" s="54"/>
      <c r="H229" s="54">
        <v>1280.93</v>
      </c>
      <c r="I229" s="54"/>
      <c r="J229" s="55">
        <v>201.44</v>
      </c>
      <c r="K229" s="56">
        <v>197.99</v>
      </c>
      <c r="L229" s="55">
        <v>172.97</v>
      </c>
      <c r="M229" s="57">
        <f t="shared" si="34"/>
        <v>190.80000000000004</v>
      </c>
      <c r="N229" s="58">
        <f t="shared" si="33"/>
        <v>148.95427540927298</v>
      </c>
      <c r="O229" s="55">
        <v>76.81</v>
      </c>
      <c r="P229" s="56">
        <v>73.13</v>
      </c>
      <c r="Q229" s="55">
        <v>78.91</v>
      </c>
      <c r="R229" s="57">
        <f t="shared" si="29"/>
        <v>76.28333333333333</v>
      </c>
      <c r="S229" s="58">
        <f t="shared" si="27"/>
        <v>59.553085128253166</v>
      </c>
    </row>
    <row r="230" spans="1:19" ht="15">
      <c r="A230" s="6">
        <v>227</v>
      </c>
      <c r="B230" s="38" t="s">
        <v>18</v>
      </c>
      <c r="C230" s="6">
        <v>61</v>
      </c>
      <c r="D230" s="38" t="s">
        <v>38</v>
      </c>
      <c r="E230" s="54">
        <v>33</v>
      </c>
      <c r="F230" s="54"/>
      <c r="G230" s="54"/>
      <c r="H230" s="54">
        <v>1515.97</v>
      </c>
      <c r="I230" s="54"/>
      <c r="J230" s="55">
        <v>235.96</v>
      </c>
      <c r="K230" s="56">
        <v>235.86</v>
      </c>
      <c r="L230" s="55">
        <v>180.71</v>
      </c>
      <c r="M230" s="57">
        <f t="shared" si="34"/>
        <v>217.51000000000002</v>
      </c>
      <c r="N230" s="58">
        <f t="shared" si="33"/>
        <v>143.47909259418063</v>
      </c>
      <c r="O230" s="55">
        <v>86.27</v>
      </c>
      <c r="P230" s="56">
        <v>77.31</v>
      </c>
      <c r="Q230" s="55">
        <v>85.65</v>
      </c>
      <c r="R230" s="57">
        <f t="shared" si="29"/>
        <v>83.07666666666667</v>
      </c>
      <c r="S230" s="58">
        <f t="shared" si="27"/>
        <v>54.80099650168979</v>
      </c>
    </row>
    <row r="231" spans="1:19" ht="15">
      <c r="A231" s="6">
        <v>228</v>
      </c>
      <c r="B231" s="38" t="s">
        <v>82</v>
      </c>
      <c r="C231" s="6">
        <v>1</v>
      </c>
      <c r="D231" s="38" t="s">
        <v>38</v>
      </c>
      <c r="E231" s="54"/>
      <c r="F231" s="54"/>
      <c r="G231" s="54"/>
      <c r="H231" s="54">
        <v>701.1</v>
      </c>
      <c r="I231" s="54"/>
      <c r="J231" s="55">
        <v>106.27</v>
      </c>
      <c r="K231" s="56">
        <v>108.81</v>
      </c>
      <c r="L231" s="55">
        <v>100</v>
      </c>
      <c r="M231" s="57">
        <f t="shared" si="34"/>
        <v>105.02666666666666</v>
      </c>
      <c r="N231" s="58">
        <f t="shared" si="33"/>
        <v>149.8026910093662</v>
      </c>
      <c r="O231" s="55">
        <v>36.68</v>
      </c>
      <c r="P231" s="56">
        <v>32.44</v>
      </c>
      <c r="Q231" s="80">
        <v>273.15</v>
      </c>
      <c r="R231" s="57">
        <f t="shared" si="29"/>
        <v>114.08999999999999</v>
      </c>
      <c r="S231" s="58">
        <f t="shared" si="27"/>
        <v>162.72999572100983</v>
      </c>
    </row>
    <row r="232" spans="1:19" ht="15">
      <c r="A232" s="6">
        <v>229</v>
      </c>
      <c r="B232" s="38" t="s">
        <v>82</v>
      </c>
      <c r="C232" s="6">
        <v>3</v>
      </c>
      <c r="D232" s="38" t="s">
        <v>38</v>
      </c>
      <c r="E232" s="54">
        <v>24</v>
      </c>
      <c r="F232" s="54"/>
      <c r="G232" s="54"/>
      <c r="H232" s="54">
        <f>675.15+649.27</f>
        <v>1324.42</v>
      </c>
      <c r="I232" s="54"/>
      <c r="J232" s="55">
        <f>92.45+100.11</f>
        <v>192.56</v>
      </c>
      <c r="K232" s="56">
        <f>92.36+86.99</f>
        <v>179.35</v>
      </c>
      <c r="L232" s="55">
        <v>152.02</v>
      </c>
      <c r="M232" s="57">
        <f t="shared" si="34"/>
        <v>174.64333333333335</v>
      </c>
      <c r="N232" s="58">
        <f t="shared" si="33"/>
        <v>131.86401091295312</v>
      </c>
      <c r="O232" s="55">
        <f>36.6+31.29</f>
        <v>67.89</v>
      </c>
      <c r="P232" s="56">
        <f>37.58+35.3</f>
        <v>72.88</v>
      </c>
      <c r="Q232" s="55">
        <v>63.94</v>
      </c>
      <c r="R232" s="57">
        <f t="shared" si="29"/>
        <v>68.23666666666666</v>
      </c>
      <c r="S232" s="58">
        <f t="shared" si="27"/>
        <v>51.52192406235685</v>
      </c>
    </row>
    <row r="233" spans="1:19" ht="15">
      <c r="A233" s="6">
        <v>230</v>
      </c>
      <c r="B233" s="38" t="s">
        <v>82</v>
      </c>
      <c r="C233" s="6">
        <v>5</v>
      </c>
      <c r="D233" s="38" t="s">
        <v>38</v>
      </c>
      <c r="E233" s="54">
        <v>78</v>
      </c>
      <c r="F233" s="54">
        <v>1988</v>
      </c>
      <c r="G233" s="54">
        <v>4438.5</v>
      </c>
      <c r="H233" s="54">
        <f>37.9+2947.81</f>
        <v>2985.71</v>
      </c>
      <c r="I233" s="54"/>
      <c r="J233" s="55">
        <v>420.2</v>
      </c>
      <c r="K233" s="56">
        <f>1.64+388.315</f>
        <v>389.955</v>
      </c>
      <c r="L233" s="55">
        <v>346.63</v>
      </c>
      <c r="M233" s="57">
        <f t="shared" si="34"/>
        <v>385.595</v>
      </c>
      <c r="N233" s="58">
        <f t="shared" si="33"/>
        <v>129.146836095937</v>
      </c>
      <c r="O233" s="55">
        <v>239.74</v>
      </c>
      <c r="P233" s="56">
        <f>0.365+199.93</f>
        <v>200.29500000000002</v>
      </c>
      <c r="Q233" s="55">
        <v>197.62</v>
      </c>
      <c r="R233" s="57">
        <f t="shared" si="29"/>
        <v>212.55166666666665</v>
      </c>
      <c r="S233" s="58">
        <f t="shared" si="27"/>
        <v>71.18965561513564</v>
      </c>
    </row>
    <row r="234" spans="1:19" ht="15">
      <c r="A234" s="6">
        <v>231</v>
      </c>
      <c r="B234" s="38" t="s">
        <v>82</v>
      </c>
      <c r="C234" s="6">
        <v>7</v>
      </c>
      <c r="D234" s="38" t="s">
        <v>38</v>
      </c>
      <c r="E234" s="54">
        <v>50</v>
      </c>
      <c r="F234" s="54">
        <v>1991</v>
      </c>
      <c r="G234" s="54">
        <v>3706.5</v>
      </c>
      <c r="H234" s="54">
        <v>2807.01</v>
      </c>
      <c r="I234" s="54"/>
      <c r="J234" s="55">
        <v>392.31</v>
      </c>
      <c r="K234" s="56">
        <v>350.88</v>
      </c>
      <c r="L234" s="55">
        <v>320.51</v>
      </c>
      <c r="M234" s="57">
        <f t="shared" si="34"/>
        <v>354.56666666666666</v>
      </c>
      <c r="N234" s="58">
        <f t="shared" si="33"/>
        <v>126.31471447079512</v>
      </c>
      <c r="O234" s="55">
        <v>173.67</v>
      </c>
      <c r="P234" s="56">
        <v>170.77</v>
      </c>
      <c r="Q234" s="55">
        <v>153.63</v>
      </c>
      <c r="R234" s="57">
        <f t="shared" si="29"/>
        <v>166.02333333333334</v>
      </c>
      <c r="S234" s="58">
        <f t="shared" si="27"/>
        <v>59.14597145479828</v>
      </c>
    </row>
    <row r="235" spans="1:19" ht="15">
      <c r="A235" s="6">
        <v>232</v>
      </c>
      <c r="B235" s="38" t="s">
        <v>82</v>
      </c>
      <c r="C235" s="6">
        <v>9</v>
      </c>
      <c r="D235" s="38" t="s">
        <v>38</v>
      </c>
      <c r="E235" s="54">
        <v>78</v>
      </c>
      <c r="F235" s="54">
        <v>1990</v>
      </c>
      <c r="G235" s="59">
        <v>4418.9</v>
      </c>
      <c r="H235" s="54">
        <v>3077.1</v>
      </c>
      <c r="I235" s="54"/>
      <c r="J235" s="55">
        <v>522.73</v>
      </c>
      <c r="K235" s="56">
        <v>505.37</v>
      </c>
      <c r="L235" s="55">
        <v>438.99</v>
      </c>
      <c r="M235" s="57">
        <f t="shared" si="34"/>
        <v>489.03000000000003</v>
      </c>
      <c r="N235" s="58">
        <f t="shared" si="33"/>
        <v>158.9256117773228</v>
      </c>
      <c r="O235" s="55">
        <v>217.85</v>
      </c>
      <c r="P235" s="56">
        <v>189.33</v>
      </c>
      <c r="Q235" s="55">
        <v>169.14</v>
      </c>
      <c r="R235" s="57">
        <f t="shared" si="29"/>
        <v>192.10666666666665</v>
      </c>
      <c r="S235" s="58">
        <f t="shared" si="27"/>
        <v>62.43107687974608</v>
      </c>
    </row>
    <row r="236" spans="1:19" ht="15">
      <c r="A236" s="6">
        <v>233</v>
      </c>
      <c r="B236" s="38" t="s">
        <v>82</v>
      </c>
      <c r="C236" s="6">
        <v>13</v>
      </c>
      <c r="D236" s="38" t="s">
        <v>38</v>
      </c>
      <c r="E236" s="59">
        <v>103</v>
      </c>
      <c r="F236" s="54">
        <v>1986</v>
      </c>
      <c r="G236" s="54">
        <v>8206.9</v>
      </c>
      <c r="H236" s="54">
        <f>2784.8+2709.2</f>
        <v>5494</v>
      </c>
      <c r="I236" s="54"/>
      <c r="J236" s="55">
        <f>419.34+409.39</f>
        <v>828.73</v>
      </c>
      <c r="K236" s="56">
        <f>413.02+359.72</f>
        <v>772.74</v>
      </c>
      <c r="L236" s="55">
        <v>346.13</v>
      </c>
      <c r="M236" s="57">
        <f t="shared" si="34"/>
        <v>649.1999999999999</v>
      </c>
      <c r="N236" s="58">
        <f t="shared" si="33"/>
        <v>118.16527120495084</v>
      </c>
      <c r="O236" s="55">
        <f>213.06+213.37</f>
        <v>426.43</v>
      </c>
      <c r="P236" s="56">
        <f>195.43+203.87</f>
        <v>399.3</v>
      </c>
      <c r="Q236" s="55">
        <v>171.2</v>
      </c>
      <c r="R236" s="57">
        <f t="shared" si="29"/>
        <v>332.31</v>
      </c>
      <c r="S236" s="58">
        <f t="shared" si="27"/>
        <v>60.48598471059338</v>
      </c>
    </row>
    <row r="237" spans="1:19" ht="15">
      <c r="A237" s="6">
        <v>234</v>
      </c>
      <c r="B237" s="38" t="s">
        <v>82</v>
      </c>
      <c r="C237" s="6" t="s">
        <v>83</v>
      </c>
      <c r="D237" s="38" t="s">
        <v>38</v>
      </c>
      <c r="E237" s="54"/>
      <c r="F237" s="54"/>
      <c r="G237" s="59">
        <v>696.3</v>
      </c>
      <c r="H237" s="59">
        <v>604.69</v>
      </c>
      <c r="I237" s="54"/>
      <c r="J237" s="55">
        <v>82.67</v>
      </c>
      <c r="K237" s="56">
        <v>80.15</v>
      </c>
      <c r="L237" s="55">
        <v>71.87</v>
      </c>
      <c r="M237" s="57">
        <f t="shared" si="34"/>
        <v>78.23</v>
      </c>
      <c r="N237" s="58">
        <f t="shared" si="33"/>
        <v>129.37207494749376</v>
      </c>
      <c r="O237" s="55">
        <v>36.68</v>
      </c>
      <c r="P237" s="56">
        <v>36.42</v>
      </c>
      <c r="Q237" s="55">
        <v>32.85</v>
      </c>
      <c r="R237" s="57">
        <f t="shared" si="29"/>
        <v>35.31666666666666</v>
      </c>
      <c r="S237" s="58">
        <f t="shared" si="27"/>
        <v>58.404581962107294</v>
      </c>
    </row>
    <row r="238" spans="1:19" ht="15">
      <c r="A238" s="6">
        <v>235</v>
      </c>
      <c r="B238" s="38" t="s">
        <v>84</v>
      </c>
      <c r="C238" s="6">
        <v>2</v>
      </c>
      <c r="D238" s="38" t="s">
        <v>38</v>
      </c>
      <c r="E238" s="54">
        <v>72</v>
      </c>
      <c r="F238" s="54">
        <v>1980</v>
      </c>
      <c r="G238" s="54">
        <v>4584.7</v>
      </c>
      <c r="H238" s="54">
        <f>1851.55+1886.42</f>
        <v>3737.9700000000003</v>
      </c>
      <c r="I238" s="54"/>
      <c r="J238" s="55">
        <f>207.71+209.36</f>
        <v>417.07000000000005</v>
      </c>
      <c r="K238" s="56">
        <f>205.98+190.21</f>
        <v>396.19</v>
      </c>
      <c r="L238" s="55">
        <v>374.76</v>
      </c>
      <c r="M238" s="57">
        <f t="shared" si="34"/>
        <v>396.00666666666666</v>
      </c>
      <c r="N238" s="58">
        <f t="shared" si="33"/>
        <v>105.94163855425984</v>
      </c>
      <c r="O238" s="55">
        <f>90.38+102.39</f>
        <v>192.76999999999998</v>
      </c>
      <c r="P238" s="56">
        <f>93.9+102.2</f>
        <v>196.10000000000002</v>
      </c>
      <c r="Q238" s="55">
        <v>163.26</v>
      </c>
      <c r="R238" s="57">
        <f t="shared" si="29"/>
        <v>184.04333333333332</v>
      </c>
      <c r="S238" s="58">
        <f t="shared" si="27"/>
        <v>49.236171861554084</v>
      </c>
    </row>
    <row r="239" spans="1:19" ht="15">
      <c r="A239" s="6">
        <v>236</v>
      </c>
      <c r="B239" s="38" t="s">
        <v>84</v>
      </c>
      <c r="C239" s="6">
        <v>6</v>
      </c>
      <c r="D239" s="38" t="s">
        <v>38</v>
      </c>
      <c r="E239" s="54">
        <v>122</v>
      </c>
      <c r="F239" s="54">
        <v>1973</v>
      </c>
      <c r="G239" s="54">
        <v>9035.4</v>
      </c>
      <c r="H239" s="54">
        <f>3350.53+2735.3</f>
        <v>6085.83</v>
      </c>
      <c r="I239" s="54"/>
      <c r="J239" s="55">
        <f>447.85+382.75+2.51</f>
        <v>833.11</v>
      </c>
      <c r="K239" s="56">
        <f>423.11+366.47</f>
        <v>789.58</v>
      </c>
      <c r="L239" s="55">
        <v>658.52</v>
      </c>
      <c r="M239" s="57">
        <f t="shared" si="34"/>
        <v>760.4033333333333</v>
      </c>
      <c r="N239" s="58">
        <f t="shared" si="33"/>
        <v>124.9465287944838</v>
      </c>
      <c r="O239" s="55">
        <f>240.93+175.42</f>
        <v>416.35</v>
      </c>
      <c r="P239" s="56">
        <f>188.65+233.98</f>
        <v>422.63</v>
      </c>
      <c r="Q239" s="55">
        <v>361.34</v>
      </c>
      <c r="R239" s="57">
        <f t="shared" si="29"/>
        <v>400.1066666666666</v>
      </c>
      <c r="S239" s="58">
        <f t="shared" si="27"/>
        <v>65.74397685552613</v>
      </c>
    </row>
    <row r="240" spans="1:19" ht="15">
      <c r="A240" s="6">
        <v>237</v>
      </c>
      <c r="B240" s="38" t="s">
        <v>84</v>
      </c>
      <c r="C240" s="6">
        <v>8</v>
      </c>
      <c r="D240" s="38" t="s">
        <v>38</v>
      </c>
      <c r="E240" s="54">
        <v>27</v>
      </c>
      <c r="F240" s="54">
        <v>1973</v>
      </c>
      <c r="G240" s="54">
        <v>1964.4</v>
      </c>
      <c r="H240" s="54">
        <f>107.1+1302.26</f>
        <v>1409.36</v>
      </c>
      <c r="I240" s="54"/>
      <c r="J240" s="55">
        <f>13.13+166.63</f>
        <v>179.76</v>
      </c>
      <c r="K240" s="56">
        <f>13.27+161.1</f>
        <v>174.37</v>
      </c>
      <c r="L240" s="55">
        <v>155.16</v>
      </c>
      <c r="M240" s="57">
        <f t="shared" si="34"/>
        <v>169.76333333333332</v>
      </c>
      <c r="N240" s="58">
        <f t="shared" si="33"/>
        <v>120.45420143422074</v>
      </c>
      <c r="O240" s="55">
        <f>1.3+76.45</f>
        <v>77.75</v>
      </c>
      <c r="P240" s="56">
        <f>0.78+72.89</f>
        <v>73.67</v>
      </c>
      <c r="Q240" s="55">
        <v>55.19</v>
      </c>
      <c r="R240" s="57">
        <f t="shared" si="29"/>
        <v>68.87</v>
      </c>
      <c r="S240" s="58">
        <f t="shared" si="27"/>
        <v>48.86615201226089</v>
      </c>
    </row>
    <row r="241" spans="1:19" ht="15">
      <c r="A241" s="6">
        <v>238</v>
      </c>
      <c r="B241" s="38" t="s">
        <v>84</v>
      </c>
      <c r="C241" s="6">
        <v>10</v>
      </c>
      <c r="D241" s="38" t="s">
        <v>38</v>
      </c>
      <c r="E241" s="54">
        <v>80</v>
      </c>
      <c r="F241" s="54">
        <v>1974</v>
      </c>
      <c r="G241" s="54">
        <v>5900.4</v>
      </c>
      <c r="H241" s="54">
        <f>73.5+164.26+3.07+3903.48</f>
        <v>4144.31</v>
      </c>
      <c r="I241" s="54"/>
      <c r="J241" s="55">
        <f>8.32+18.62+442.31+0.35</f>
        <v>469.6</v>
      </c>
      <c r="K241" s="56">
        <f>8.01+17.92+0.33+425.78</f>
        <v>452.03999999999996</v>
      </c>
      <c r="L241" s="55">
        <v>411.94</v>
      </c>
      <c r="M241" s="57">
        <f t="shared" si="34"/>
        <v>444.52666666666664</v>
      </c>
      <c r="N241" s="58">
        <f t="shared" si="33"/>
        <v>107.26192458254006</v>
      </c>
      <c r="O241" s="55">
        <f>1.45+243.12</f>
        <v>244.57</v>
      </c>
      <c r="P241" s="56">
        <f>1.296+233.51</f>
        <v>234.80599999999998</v>
      </c>
      <c r="Q241" s="55">
        <v>212.92</v>
      </c>
      <c r="R241" s="57">
        <f t="shared" si="29"/>
        <v>230.7653333333333</v>
      </c>
      <c r="S241" s="58">
        <f t="shared" si="27"/>
        <v>55.68244975239142</v>
      </c>
    </row>
    <row r="242" spans="1:19" ht="15">
      <c r="A242" s="6">
        <v>239</v>
      </c>
      <c r="B242" s="38" t="s">
        <v>84</v>
      </c>
      <c r="C242" s="6">
        <v>12</v>
      </c>
      <c r="D242" s="38" t="s">
        <v>38</v>
      </c>
      <c r="E242" s="54">
        <v>56</v>
      </c>
      <c r="F242" s="54"/>
      <c r="G242" s="54"/>
      <c r="H242" s="54">
        <v>2749.83</v>
      </c>
      <c r="I242" s="54"/>
      <c r="J242" s="55">
        <v>337.74</v>
      </c>
      <c r="K242" s="56">
        <v>313.38</v>
      </c>
      <c r="L242" s="55">
        <v>271.21</v>
      </c>
      <c r="M242" s="57">
        <f t="shared" si="34"/>
        <v>307.4433333333333</v>
      </c>
      <c r="N242" s="58">
        <f t="shared" si="33"/>
        <v>111.80448730770023</v>
      </c>
      <c r="O242" s="55">
        <v>176.08</v>
      </c>
      <c r="P242" s="56">
        <v>168.01</v>
      </c>
      <c r="Q242" s="55">
        <v>139.08</v>
      </c>
      <c r="R242" s="57">
        <f t="shared" si="29"/>
        <v>161.0566666666667</v>
      </c>
      <c r="S242" s="58">
        <f t="shared" si="27"/>
        <v>58.56968127726685</v>
      </c>
    </row>
    <row r="243" spans="1:19" ht="15">
      <c r="A243" s="6">
        <v>240</v>
      </c>
      <c r="B243" s="38" t="s">
        <v>84</v>
      </c>
      <c r="C243" s="6">
        <v>14</v>
      </c>
      <c r="D243" s="38" t="s">
        <v>38</v>
      </c>
      <c r="E243" s="54">
        <v>56</v>
      </c>
      <c r="F243" s="54">
        <v>1974</v>
      </c>
      <c r="G243" s="54">
        <v>3895.1</v>
      </c>
      <c r="H243" s="54">
        <v>2660.97</v>
      </c>
      <c r="I243" s="54"/>
      <c r="J243" s="55">
        <v>366.78</v>
      </c>
      <c r="K243" s="56">
        <v>352.12</v>
      </c>
      <c r="L243" s="55">
        <v>313.51</v>
      </c>
      <c r="M243" s="57">
        <f t="shared" si="34"/>
        <v>344.1366666666666</v>
      </c>
      <c r="N243" s="58">
        <f t="shared" si="33"/>
        <v>129.3275259272621</v>
      </c>
      <c r="O243" s="55">
        <v>166.76</v>
      </c>
      <c r="P243" s="56">
        <v>161.08</v>
      </c>
      <c r="Q243" s="55">
        <v>135.01</v>
      </c>
      <c r="R243" s="57">
        <f t="shared" si="29"/>
        <v>154.28333333333333</v>
      </c>
      <c r="S243" s="58">
        <f t="shared" si="27"/>
        <v>57.980110010008886</v>
      </c>
    </row>
    <row r="244" spans="1:19" ht="15">
      <c r="A244" s="6">
        <v>241</v>
      </c>
      <c r="B244" s="38" t="s">
        <v>84</v>
      </c>
      <c r="C244" s="6">
        <v>17</v>
      </c>
      <c r="D244" s="38" t="s">
        <v>38</v>
      </c>
      <c r="E244" s="54">
        <v>52</v>
      </c>
      <c r="F244" s="54">
        <v>1987</v>
      </c>
      <c r="G244" s="54">
        <v>3741.8</v>
      </c>
      <c r="H244" s="54">
        <f>35+2632.46</f>
        <v>2667.46</v>
      </c>
      <c r="I244" s="54"/>
      <c r="J244" s="55">
        <f>52.69+349.71</f>
        <v>402.4</v>
      </c>
      <c r="K244" s="69">
        <v>378.78</v>
      </c>
      <c r="L244" s="70">
        <v>355.08</v>
      </c>
      <c r="M244" s="57">
        <f t="shared" si="34"/>
        <v>378.7533333333333</v>
      </c>
      <c r="N244" s="58">
        <f t="shared" si="33"/>
        <v>141.99025789827525</v>
      </c>
      <c r="O244" s="55">
        <f>174.85</f>
        <v>174.85</v>
      </c>
      <c r="P244" s="69">
        <v>175.58</v>
      </c>
      <c r="Q244" s="70">
        <v>139.73</v>
      </c>
      <c r="R244" s="57">
        <f t="shared" si="29"/>
        <v>163.38666666666666</v>
      </c>
      <c r="S244" s="58">
        <f t="shared" si="27"/>
        <v>61.25177759616514</v>
      </c>
    </row>
    <row r="245" spans="1:19" ht="15">
      <c r="A245" s="6">
        <v>242</v>
      </c>
      <c r="B245" s="38" t="s">
        <v>84</v>
      </c>
      <c r="C245" s="6">
        <v>18</v>
      </c>
      <c r="D245" s="38" t="s">
        <v>38</v>
      </c>
      <c r="E245" s="54">
        <v>119</v>
      </c>
      <c r="F245" s="54">
        <v>1990</v>
      </c>
      <c r="G245" s="54">
        <v>7006</v>
      </c>
      <c r="H245" s="54">
        <f>2660.21+2542.96</f>
        <v>5203.17</v>
      </c>
      <c r="I245" s="54"/>
      <c r="J245" s="55">
        <f>348.26+332.14</f>
        <v>680.4</v>
      </c>
      <c r="K245" s="56">
        <f>314.01+317.68</f>
        <v>631.69</v>
      </c>
      <c r="L245" s="55">
        <v>535.24</v>
      </c>
      <c r="M245" s="57">
        <f t="shared" si="34"/>
        <v>615.7766666666666</v>
      </c>
      <c r="N245" s="58">
        <f t="shared" si="33"/>
        <v>118.34644393065508</v>
      </c>
      <c r="O245" s="55">
        <f>165.34+173.34</f>
        <v>338.68</v>
      </c>
      <c r="P245" s="56">
        <f>145.91+171.74</f>
        <v>317.65</v>
      </c>
      <c r="Q245" s="55">
        <v>258.69</v>
      </c>
      <c r="R245" s="57">
        <f t="shared" si="29"/>
        <v>305.00666666666666</v>
      </c>
      <c r="S245" s="58">
        <f t="shared" si="27"/>
        <v>58.619392921366526</v>
      </c>
    </row>
    <row r="246" spans="1:19" ht="15">
      <c r="A246" s="6">
        <v>243</v>
      </c>
      <c r="B246" s="38" t="s">
        <v>84</v>
      </c>
      <c r="C246" s="6">
        <v>19</v>
      </c>
      <c r="D246" s="38" t="s">
        <v>38</v>
      </c>
      <c r="E246" s="54"/>
      <c r="F246" s="54">
        <v>1989</v>
      </c>
      <c r="G246" s="54">
        <v>5690.5</v>
      </c>
      <c r="H246" s="54">
        <f>1952.47+2092.55</f>
        <v>4045.0200000000004</v>
      </c>
      <c r="I246" s="54"/>
      <c r="J246" s="55">
        <f>234.4+254.94</f>
        <v>489.34000000000003</v>
      </c>
      <c r="K246" s="56">
        <f>242.02+249.08</f>
        <v>491.1</v>
      </c>
      <c r="L246" s="55">
        <v>446.49</v>
      </c>
      <c r="M246" s="57">
        <f t="shared" si="34"/>
        <v>475.6433333333334</v>
      </c>
      <c r="N246" s="58">
        <f t="shared" si="33"/>
        <v>117.58738728939123</v>
      </c>
      <c r="O246" s="55">
        <f>139.3+121.97</f>
        <v>261.27</v>
      </c>
      <c r="P246" s="56">
        <f>125+109.56</f>
        <v>234.56</v>
      </c>
      <c r="Q246" s="55">
        <v>207.45</v>
      </c>
      <c r="R246" s="57">
        <f t="shared" si="29"/>
        <v>234.42666666666665</v>
      </c>
      <c r="S246" s="58">
        <f t="shared" si="27"/>
        <v>57.95439000713633</v>
      </c>
    </row>
    <row r="247" spans="1:19" ht="15">
      <c r="A247" s="6">
        <v>244</v>
      </c>
      <c r="B247" s="38" t="s">
        <v>84</v>
      </c>
      <c r="C247" s="6">
        <v>20</v>
      </c>
      <c r="D247" s="38" t="s">
        <v>38</v>
      </c>
      <c r="E247" s="54">
        <v>60</v>
      </c>
      <c r="F247" s="54">
        <v>1977</v>
      </c>
      <c r="G247" s="54">
        <v>3300.4</v>
      </c>
      <c r="H247" s="54">
        <v>2616.67</v>
      </c>
      <c r="I247" s="54"/>
      <c r="J247" s="55">
        <v>302</v>
      </c>
      <c r="K247" s="56">
        <v>302.8</v>
      </c>
      <c r="L247" s="55">
        <v>268.91</v>
      </c>
      <c r="M247" s="57">
        <f t="shared" si="34"/>
        <v>291.2366666666667</v>
      </c>
      <c r="N247" s="58">
        <f t="shared" si="33"/>
        <v>111.30049515860489</v>
      </c>
      <c r="O247" s="55">
        <v>142.65</v>
      </c>
      <c r="P247" s="56">
        <v>144.8</v>
      </c>
      <c r="Q247" s="55">
        <v>125.71</v>
      </c>
      <c r="R247" s="57">
        <f t="shared" si="29"/>
        <v>137.72</v>
      </c>
      <c r="S247" s="58">
        <f t="shared" si="27"/>
        <v>52.63178008690435</v>
      </c>
    </row>
    <row r="248" spans="1:19" ht="15">
      <c r="A248" s="6">
        <v>245</v>
      </c>
      <c r="B248" s="38" t="s">
        <v>84</v>
      </c>
      <c r="C248" s="6">
        <v>21</v>
      </c>
      <c r="D248" s="38" t="s">
        <v>38</v>
      </c>
      <c r="E248" s="54">
        <v>52</v>
      </c>
      <c r="F248" s="54">
        <v>1991</v>
      </c>
      <c r="G248" s="54">
        <v>3770.3</v>
      </c>
      <c r="H248" s="54">
        <v>2451.59</v>
      </c>
      <c r="I248" s="54"/>
      <c r="J248" s="55">
        <v>339.84</v>
      </c>
      <c r="K248" s="56">
        <v>344.84</v>
      </c>
      <c r="L248" s="55">
        <v>267.33</v>
      </c>
      <c r="M248" s="57">
        <f t="shared" si="34"/>
        <v>317.33666666666664</v>
      </c>
      <c r="N248" s="58">
        <f t="shared" si="33"/>
        <v>129.44116539334337</v>
      </c>
      <c r="O248" s="55">
        <v>175.93</v>
      </c>
      <c r="P248" s="56">
        <v>177.98</v>
      </c>
      <c r="Q248" s="55">
        <v>154.35</v>
      </c>
      <c r="R248" s="57">
        <f t="shared" si="29"/>
        <v>169.42</v>
      </c>
      <c r="S248" s="58">
        <f t="shared" si="27"/>
        <v>69.10617191292181</v>
      </c>
    </row>
    <row r="249" spans="1:19" ht="15">
      <c r="A249" s="6">
        <v>246</v>
      </c>
      <c r="B249" s="38" t="s">
        <v>84</v>
      </c>
      <c r="C249" s="6">
        <v>32</v>
      </c>
      <c r="D249" s="38" t="s">
        <v>38</v>
      </c>
      <c r="E249" s="54">
        <v>35</v>
      </c>
      <c r="F249" s="54">
        <v>1993</v>
      </c>
      <c r="G249" s="54">
        <v>4393.9</v>
      </c>
      <c r="H249" s="54">
        <f>36.6+1708.85+1800.43</f>
        <v>3545.88</v>
      </c>
      <c r="I249" s="54"/>
      <c r="J249" s="55">
        <f>210.21+225.42</f>
        <v>435.63</v>
      </c>
      <c r="K249" s="56">
        <f>1.95+190.645+221.53</f>
        <v>414.125</v>
      </c>
      <c r="L249" s="55">
        <v>361.25</v>
      </c>
      <c r="M249" s="57">
        <f t="shared" si="34"/>
        <v>403.66833333333335</v>
      </c>
      <c r="N249" s="58">
        <f t="shared" si="33"/>
        <v>113.84150995897586</v>
      </c>
      <c r="O249" s="55">
        <f>97.45+117.3</f>
        <v>214.75</v>
      </c>
      <c r="P249" s="56">
        <f>0.395+97.53+114.9</f>
        <v>212.825</v>
      </c>
      <c r="Q249" s="55">
        <v>181.26</v>
      </c>
      <c r="R249" s="57">
        <f t="shared" si="29"/>
        <v>202.94500000000002</v>
      </c>
      <c r="S249" s="58">
        <f t="shared" si="27"/>
        <v>57.23402935237515</v>
      </c>
    </row>
    <row r="250" spans="1:19" ht="15">
      <c r="A250" s="6">
        <v>247</v>
      </c>
      <c r="B250" s="38" t="s">
        <v>84</v>
      </c>
      <c r="C250" s="6">
        <v>22</v>
      </c>
      <c r="D250" s="38"/>
      <c r="E250" s="54"/>
      <c r="F250" s="54"/>
      <c r="G250" s="59">
        <v>2658.51</v>
      </c>
      <c r="H250" s="59">
        <v>2495.72</v>
      </c>
      <c r="I250" s="54"/>
      <c r="J250" s="60">
        <v>220.74</v>
      </c>
      <c r="K250" s="55">
        <v>184.53</v>
      </c>
      <c r="L250" s="60">
        <v>152.0454</v>
      </c>
      <c r="M250" s="57">
        <f>(L250+K250+J250)/3</f>
        <v>185.77179999999998</v>
      </c>
      <c r="N250" s="58">
        <f t="shared" si="33"/>
        <v>74.43615469684099</v>
      </c>
      <c r="O250" s="60">
        <v>155.03</v>
      </c>
      <c r="P250" s="55">
        <v>170.57</v>
      </c>
      <c r="Q250" s="60">
        <v>186.96460000000002</v>
      </c>
      <c r="R250" s="57">
        <f t="shared" si="29"/>
        <v>170.85486666666668</v>
      </c>
      <c r="S250" s="58">
        <f t="shared" si="27"/>
        <v>68.45914872929123</v>
      </c>
    </row>
    <row r="251" spans="1:19" ht="15">
      <c r="A251" s="6">
        <v>248</v>
      </c>
      <c r="B251" s="38" t="s">
        <v>84</v>
      </c>
      <c r="C251" s="6">
        <v>28</v>
      </c>
      <c r="D251" s="38"/>
      <c r="E251" s="54"/>
      <c r="F251" s="54"/>
      <c r="G251" s="62">
        <v>2220.4</v>
      </c>
      <c r="H251" s="62">
        <v>2220.4</v>
      </c>
      <c r="I251" s="54"/>
      <c r="J251" s="60">
        <v>248.28</v>
      </c>
      <c r="K251" s="55">
        <v>224.9</v>
      </c>
      <c r="L251" s="60">
        <v>180.1245</v>
      </c>
      <c r="M251" s="57">
        <f>(L251+K251+J251)/3</f>
        <v>217.76816666666664</v>
      </c>
      <c r="N251" s="58">
        <f t="shared" si="33"/>
        <v>98.07609739986788</v>
      </c>
      <c r="O251" s="60">
        <v>163.59</v>
      </c>
      <c r="P251" s="55">
        <v>158.19</v>
      </c>
      <c r="Q251" s="60">
        <v>164.7957</v>
      </c>
      <c r="R251" s="57">
        <f t="shared" si="29"/>
        <v>162.1919</v>
      </c>
      <c r="S251" s="58">
        <f t="shared" si="27"/>
        <v>73.04625292740047</v>
      </c>
    </row>
    <row r="252" spans="1:19" ht="15">
      <c r="A252" s="6">
        <v>249</v>
      </c>
      <c r="B252" s="38" t="s">
        <v>19</v>
      </c>
      <c r="C252" s="6">
        <v>9</v>
      </c>
      <c r="D252" s="38" t="s">
        <v>8</v>
      </c>
      <c r="E252" s="54">
        <v>70</v>
      </c>
      <c r="F252" s="54"/>
      <c r="G252" s="54">
        <v>2835.3</v>
      </c>
      <c r="H252" s="59">
        <v>2531.84</v>
      </c>
      <c r="I252" s="54">
        <v>147</v>
      </c>
      <c r="J252" s="60">
        <v>345.43</v>
      </c>
      <c r="K252" s="55">
        <v>327.27</v>
      </c>
      <c r="L252" s="60">
        <v>313.5380374154234</v>
      </c>
      <c r="M252" s="57">
        <f t="shared" si="34"/>
        <v>328.7460124718078</v>
      </c>
      <c r="N252" s="58">
        <f t="shared" si="33"/>
        <v>129.84470285318494</v>
      </c>
      <c r="O252" s="60">
        <v>0</v>
      </c>
      <c r="P252" s="55">
        <v>0</v>
      </c>
      <c r="Q252" s="60">
        <v>0</v>
      </c>
      <c r="R252" s="57">
        <f t="shared" si="29"/>
        <v>0</v>
      </c>
      <c r="S252" s="58">
        <f t="shared" si="27"/>
        <v>0</v>
      </c>
    </row>
    <row r="253" spans="1:19" ht="15">
      <c r="A253" s="6">
        <v>250</v>
      </c>
      <c r="B253" s="38" t="s">
        <v>19</v>
      </c>
      <c r="C253" s="6">
        <v>11</v>
      </c>
      <c r="D253" s="38" t="s">
        <v>8</v>
      </c>
      <c r="E253" s="54">
        <v>54</v>
      </c>
      <c r="F253" s="54"/>
      <c r="G253" s="54">
        <v>2224.1</v>
      </c>
      <c r="H253" s="66">
        <v>2075.88</v>
      </c>
      <c r="I253" s="54">
        <v>93</v>
      </c>
      <c r="J253" s="61">
        <v>283.22</v>
      </c>
      <c r="K253" s="55">
        <v>263.09</v>
      </c>
      <c r="L253" s="61">
        <v>254.74</v>
      </c>
      <c r="M253" s="57">
        <f t="shared" si="34"/>
        <v>267.01666666666665</v>
      </c>
      <c r="N253" s="58">
        <f aca="true" t="shared" si="35" ref="N253:N284">M253/H253*1000</f>
        <v>128.62818017740267</v>
      </c>
      <c r="O253" s="60">
        <v>0</v>
      </c>
      <c r="P253" s="55">
        <v>0</v>
      </c>
      <c r="Q253" s="60">
        <v>0</v>
      </c>
      <c r="R253" s="57">
        <f t="shared" si="29"/>
        <v>0</v>
      </c>
      <c r="S253" s="58">
        <f t="shared" si="27"/>
        <v>0</v>
      </c>
    </row>
    <row r="254" spans="1:19" ht="15">
      <c r="A254" s="6">
        <v>251</v>
      </c>
      <c r="B254" s="38" t="s">
        <v>19</v>
      </c>
      <c r="C254" s="6">
        <v>13</v>
      </c>
      <c r="D254" s="38" t="s">
        <v>8</v>
      </c>
      <c r="E254" s="54">
        <v>39</v>
      </c>
      <c r="F254" s="54"/>
      <c r="G254" s="54">
        <v>1561.3</v>
      </c>
      <c r="H254" s="66">
        <v>1529.89</v>
      </c>
      <c r="I254" s="54">
        <v>83</v>
      </c>
      <c r="J254" s="61">
        <v>208.72</v>
      </c>
      <c r="K254" s="55">
        <v>187.81</v>
      </c>
      <c r="L254" s="61">
        <v>187.74</v>
      </c>
      <c r="M254" s="57">
        <f t="shared" si="34"/>
        <v>194.75666666666666</v>
      </c>
      <c r="N254" s="58">
        <f t="shared" si="35"/>
        <v>127.3010913638671</v>
      </c>
      <c r="O254" s="60">
        <v>0</v>
      </c>
      <c r="P254" s="55">
        <v>0</v>
      </c>
      <c r="Q254" s="60">
        <v>0</v>
      </c>
      <c r="R254" s="57">
        <f t="shared" si="29"/>
        <v>0</v>
      </c>
      <c r="S254" s="58">
        <f t="shared" si="27"/>
        <v>0</v>
      </c>
    </row>
    <row r="255" spans="1:19" ht="15">
      <c r="A255" s="6">
        <v>252</v>
      </c>
      <c r="B255" s="38" t="s">
        <v>19</v>
      </c>
      <c r="C255" s="6">
        <v>23</v>
      </c>
      <c r="D255" s="38" t="s">
        <v>8</v>
      </c>
      <c r="E255" s="54">
        <v>8</v>
      </c>
      <c r="F255" s="54"/>
      <c r="G255" s="54">
        <v>357.4</v>
      </c>
      <c r="H255" s="59">
        <v>356.47</v>
      </c>
      <c r="I255" s="54">
        <v>15</v>
      </c>
      <c r="J255" s="60">
        <v>59.38</v>
      </c>
      <c r="K255" s="55">
        <v>65.69</v>
      </c>
      <c r="L255" s="60">
        <v>47.93718760907181</v>
      </c>
      <c r="M255" s="57">
        <f t="shared" si="34"/>
        <v>57.66906253635727</v>
      </c>
      <c r="N255" s="58">
        <f t="shared" si="35"/>
        <v>161.77816516497114</v>
      </c>
      <c r="O255" s="60">
        <v>20.12</v>
      </c>
      <c r="P255" s="55">
        <v>16.31</v>
      </c>
      <c r="Q255" s="60">
        <v>16.58881239092817</v>
      </c>
      <c r="R255" s="57">
        <f t="shared" si="29"/>
        <v>17.67293746364272</v>
      </c>
      <c r="S255" s="58">
        <f t="shared" si="27"/>
        <v>49.57762915152109</v>
      </c>
    </row>
    <row r="256" spans="1:19" ht="15">
      <c r="A256" s="6">
        <v>253</v>
      </c>
      <c r="B256" s="38" t="s">
        <v>19</v>
      </c>
      <c r="C256" s="6">
        <v>2</v>
      </c>
      <c r="D256" s="38" t="s">
        <v>38</v>
      </c>
      <c r="E256" s="54">
        <v>43</v>
      </c>
      <c r="F256" s="54">
        <v>1962</v>
      </c>
      <c r="G256" s="54">
        <v>2278.1</v>
      </c>
      <c r="H256" s="54">
        <f>57.75+1695.31</f>
        <v>1753.06</v>
      </c>
      <c r="I256" s="54"/>
      <c r="J256" s="55">
        <f>7.79+227.55</f>
        <v>235.34</v>
      </c>
      <c r="K256" s="56">
        <f>7.91+227.59</f>
        <v>235.5</v>
      </c>
      <c r="L256" s="55">
        <v>229.9</v>
      </c>
      <c r="M256" s="57">
        <f t="shared" si="34"/>
        <v>233.58</v>
      </c>
      <c r="N256" s="58">
        <f t="shared" si="35"/>
        <v>133.24130377739496</v>
      </c>
      <c r="O256" s="55">
        <f>0.14+71.82</f>
        <v>71.96</v>
      </c>
      <c r="P256" s="56">
        <f>0.15+69.15</f>
        <v>69.30000000000001</v>
      </c>
      <c r="Q256" s="55">
        <v>59.1</v>
      </c>
      <c r="R256" s="57">
        <f t="shared" si="29"/>
        <v>66.78666666666666</v>
      </c>
      <c r="S256" s="58">
        <f t="shared" si="27"/>
        <v>38.097193859118725</v>
      </c>
    </row>
    <row r="257" spans="1:19" ht="15">
      <c r="A257" s="6">
        <v>254</v>
      </c>
      <c r="B257" s="38" t="s">
        <v>19</v>
      </c>
      <c r="C257" s="6">
        <v>10</v>
      </c>
      <c r="D257" s="38" t="s">
        <v>38</v>
      </c>
      <c r="E257" s="54">
        <v>12</v>
      </c>
      <c r="F257" s="54">
        <v>1959</v>
      </c>
      <c r="G257" s="54">
        <v>375.8</v>
      </c>
      <c r="H257" s="54">
        <v>475.44</v>
      </c>
      <c r="I257" s="54"/>
      <c r="J257" s="55">
        <v>94.88</v>
      </c>
      <c r="K257" s="56">
        <v>76.54</v>
      </c>
      <c r="L257" s="55">
        <v>69.12</v>
      </c>
      <c r="M257" s="57">
        <f t="shared" si="34"/>
        <v>80.18</v>
      </c>
      <c r="N257" s="58">
        <f t="shared" si="35"/>
        <v>168.6437826013798</v>
      </c>
      <c r="O257" s="55">
        <v>21.38</v>
      </c>
      <c r="P257" s="56">
        <v>21.36</v>
      </c>
      <c r="Q257" s="55">
        <v>22.28</v>
      </c>
      <c r="R257" s="57">
        <f t="shared" si="29"/>
        <v>21.673333333333332</v>
      </c>
      <c r="S257" s="58">
        <f t="shared" si="27"/>
        <v>45.5858432890235</v>
      </c>
    </row>
    <row r="258" spans="1:19" ht="15">
      <c r="A258" s="6">
        <v>255</v>
      </c>
      <c r="B258" s="38" t="s">
        <v>19</v>
      </c>
      <c r="C258" s="6">
        <v>12</v>
      </c>
      <c r="D258" s="38" t="s">
        <v>38</v>
      </c>
      <c r="E258" s="54">
        <v>78</v>
      </c>
      <c r="F258" s="54">
        <v>1984</v>
      </c>
      <c r="G258" s="59">
        <v>4593.9</v>
      </c>
      <c r="H258" s="54">
        <v>2964.87</v>
      </c>
      <c r="I258" s="54"/>
      <c r="J258" s="55">
        <f>629.94+2.33</f>
        <v>632.2700000000001</v>
      </c>
      <c r="K258" s="56">
        <f>575.58+1.35</f>
        <v>576.9300000000001</v>
      </c>
      <c r="L258" s="55">
        <v>521.88</v>
      </c>
      <c r="M258" s="57">
        <f t="shared" si="34"/>
        <v>577.0266666666666</v>
      </c>
      <c r="N258" s="58">
        <f t="shared" si="35"/>
        <v>194.62123690639612</v>
      </c>
      <c r="O258" s="55">
        <v>193.73</v>
      </c>
      <c r="P258" s="56">
        <v>202.1</v>
      </c>
      <c r="Q258" s="55">
        <v>178.32</v>
      </c>
      <c r="R258" s="57">
        <f t="shared" si="29"/>
        <v>191.38333333333333</v>
      </c>
      <c r="S258" s="58">
        <f t="shared" si="27"/>
        <v>64.55032879462956</v>
      </c>
    </row>
    <row r="259" spans="1:19" ht="15">
      <c r="A259" s="6">
        <v>256</v>
      </c>
      <c r="B259" s="38" t="s">
        <v>19</v>
      </c>
      <c r="C259" s="6">
        <v>18</v>
      </c>
      <c r="D259" s="38" t="s">
        <v>38</v>
      </c>
      <c r="E259" s="59">
        <v>4</v>
      </c>
      <c r="F259" s="54">
        <v>1957</v>
      </c>
      <c r="G259" s="54">
        <v>432</v>
      </c>
      <c r="H259" s="54">
        <v>384.1</v>
      </c>
      <c r="I259" s="54"/>
      <c r="J259" s="55">
        <v>54.75</v>
      </c>
      <c r="K259" s="56">
        <v>48.35</v>
      </c>
      <c r="L259" s="55">
        <v>42.52</v>
      </c>
      <c r="M259" s="57">
        <f t="shared" si="34"/>
        <v>48.54</v>
      </c>
      <c r="N259" s="58">
        <f t="shared" si="35"/>
        <v>126.37334027596981</v>
      </c>
      <c r="O259" s="55">
        <v>14.86</v>
      </c>
      <c r="P259" s="56">
        <v>15.25</v>
      </c>
      <c r="Q259" s="55">
        <v>13.38</v>
      </c>
      <c r="R259" s="57">
        <f t="shared" si="29"/>
        <v>14.496666666666668</v>
      </c>
      <c r="S259" s="58">
        <f t="shared" si="27"/>
        <v>37.74190748936909</v>
      </c>
    </row>
    <row r="260" spans="1:19" ht="15">
      <c r="A260" s="6">
        <v>257</v>
      </c>
      <c r="B260" s="38" t="s">
        <v>34</v>
      </c>
      <c r="C260" s="6">
        <v>8</v>
      </c>
      <c r="D260" s="38" t="s">
        <v>38</v>
      </c>
      <c r="E260" s="54"/>
      <c r="F260" s="54">
        <v>1958</v>
      </c>
      <c r="G260" s="54">
        <v>379.7</v>
      </c>
      <c r="H260" s="54">
        <v>314.61</v>
      </c>
      <c r="I260" s="54"/>
      <c r="J260" s="55">
        <v>51.17</v>
      </c>
      <c r="K260" s="56">
        <v>55.21</v>
      </c>
      <c r="L260" s="55">
        <v>51.55</v>
      </c>
      <c r="M260" s="57">
        <f t="shared" si="34"/>
        <v>52.64333333333334</v>
      </c>
      <c r="N260" s="58">
        <f t="shared" si="35"/>
        <v>167.32886218916542</v>
      </c>
      <c r="O260" s="55">
        <v>0</v>
      </c>
      <c r="P260" s="56">
        <v>0</v>
      </c>
      <c r="Q260" s="55">
        <v>0</v>
      </c>
      <c r="R260" s="57">
        <f t="shared" si="29"/>
        <v>0</v>
      </c>
      <c r="S260" s="58">
        <f aca="true" t="shared" si="36" ref="S260:S323">R260/H260*1000</f>
        <v>0</v>
      </c>
    </row>
    <row r="261" spans="1:19" ht="15">
      <c r="A261" s="6">
        <v>258</v>
      </c>
      <c r="B261" s="38" t="s">
        <v>34</v>
      </c>
      <c r="C261" s="6">
        <v>12</v>
      </c>
      <c r="D261" s="38" t="s">
        <v>38</v>
      </c>
      <c r="E261" s="54">
        <v>78</v>
      </c>
      <c r="F261" s="54"/>
      <c r="G261" s="59">
        <v>349.6</v>
      </c>
      <c r="H261" s="54">
        <v>278.8</v>
      </c>
      <c r="I261" s="54"/>
      <c r="J261" s="55">
        <v>36.79</v>
      </c>
      <c r="K261" s="56">
        <v>37.55</v>
      </c>
      <c r="L261" s="55">
        <v>31.62</v>
      </c>
      <c r="M261" s="57">
        <f t="shared" si="34"/>
        <v>35.32</v>
      </c>
      <c r="N261" s="58">
        <f t="shared" si="35"/>
        <v>126.68579626972739</v>
      </c>
      <c r="O261" s="55">
        <v>0</v>
      </c>
      <c r="P261" s="56">
        <v>0</v>
      </c>
      <c r="Q261" s="55">
        <v>0</v>
      </c>
      <c r="R261" s="57">
        <f t="shared" si="29"/>
        <v>0</v>
      </c>
      <c r="S261" s="58">
        <f t="shared" si="36"/>
        <v>0</v>
      </c>
    </row>
    <row r="262" spans="1:19" ht="15">
      <c r="A262" s="6">
        <v>259</v>
      </c>
      <c r="B262" s="38" t="s">
        <v>34</v>
      </c>
      <c r="C262" s="6">
        <v>14</v>
      </c>
      <c r="D262" s="38" t="s">
        <v>38</v>
      </c>
      <c r="E262" s="54"/>
      <c r="F262" s="54">
        <v>1959</v>
      </c>
      <c r="G262" s="54">
        <v>377.3</v>
      </c>
      <c r="H262" s="54">
        <v>351.7</v>
      </c>
      <c r="I262" s="54"/>
      <c r="J262" s="55">
        <v>58.52</v>
      </c>
      <c r="K262" s="56">
        <v>62.36</v>
      </c>
      <c r="L262" s="55">
        <v>57.61</v>
      </c>
      <c r="M262" s="57">
        <f t="shared" si="34"/>
        <v>59.49666666666667</v>
      </c>
      <c r="N262" s="58">
        <f t="shared" si="35"/>
        <v>169.16879916595585</v>
      </c>
      <c r="O262" s="55">
        <v>0</v>
      </c>
      <c r="P262" s="56">
        <v>0</v>
      </c>
      <c r="Q262" s="55">
        <v>0</v>
      </c>
      <c r="R262" s="57">
        <f aca="true" t="shared" si="37" ref="R262:R309">(O262+P262+Q262)/3</f>
        <v>0</v>
      </c>
      <c r="S262" s="58">
        <f t="shared" si="36"/>
        <v>0</v>
      </c>
    </row>
    <row r="263" spans="1:19" ht="15">
      <c r="A263" s="6">
        <v>260</v>
      </c>
      <c r="B263" s="38" t="s">
        <v>34</v>
      </c>
      <c r="C263" s="6" t="s">
        <v>83</v>
      </c>
      <c r="D263" s="38" t="s">
        <v>38</v>
      </c>
      <c r="E263" s="54">
        <v>45</v>
      </c>
      <c r="F263" s="54">
        <v>1992</v>
      </c>
      <c r="G263" s="54">
        <v>2792.3</v>
      </c>
      <c r="H263" s="54">
        <v>2154.67</v>
      </c>
      <c r="I263" s="54"/>
      <c r="J263" s="55">
        <v>260.73</v>
      </c>
      <c r="K263" s="56">
        <v>252.69</v>
      </c>
      <c r="L263" s="55">
        <v>214.38</v>
      </c>
      <c r="M263" s="57">
        <f t="shared" si="34"/>
        <v>242.6</v>
      </c>
      <c r="N263" s="58">
        <f t="shared" si="35"/>
        <v>112.59264759800804</v>
      </c>
      <c r="O263" s="55">
        <v>134.41</v>
      </c>
      <c r="P263" s="56">
        <v>129</v>
      </c>
      <c r="Q263" s="55">
        <v>131.54</v>
      </c>
      <c r="R263" s="57">
        <f t="shared" si="37"/>
        <v>131.64999999999998</v>
      </c>
      <c r="S263" s="58">
        <f t="shared" si="36"/>
        <v>61.09984359553898</v>
      </c>
    </row>
    <row r="264" spans="1:19" ht="15">
      <c r="A264" s="6">
        <v>261</v>
      </c>
      <c r="B264" s="38" t="s">
        <v>85</v>
      </c>
      <c r="C264" s="6">
        <v>1</v>
      </c>
      <c r="D264" s="38" t="s">
        <v>38</v>
      </c>
      <c r="E264" s="54">
        <v>12</v>
      </c>
      <c r="F264" s="54"/>
      <c r="G264" s="54"/>
      <c r="H264" s="54">
        <v>504.14</v>
      </c>
      <c r="I264" s="54"/>
      <c r="J264" s="55">
        <v>85.19</v>
      </c>
      <c r="K264" s="56">
        <v>75.38</v>
      </c>
      <c r="L264" s="55">
        <v>66.02</v>
      </c>
      <c r="M264" s="57">
        <f t="shared" si="34"/>
        <v>75.52999999999999</v>
      </c>
      <c r="N264" s="58">
        <f t="shared" si="35"/>
        <v>149.81949458483754</v>
      </c>
      <c r="O264" s="55">
        <v>34.31</v>
      </c>
      <c r="P264" s="56">
        <v>29.76</v>
      </c>
      <c r="Q264" s="55">
        <v>33.08</v>
      </c>
      <c r="R264" s="57">
        <f t="shared" si="37"/>
        <v>32.38333333333333</v>
      </c>
      <c r="S264" s="58">
        <f t="shared" si="36"/>
        <v>64.23480250195051</v>
      </c>
    </row>
    <row r="265" spans="1:19" ht="15">
      <c r="A265" s="6">
        <v>262</v>
      </c>
      <c r="B265" s="38" t="s">
        <v>85</v>
      </c>
      <c r="C265" s="6">
        <v>2</v>
      </c>
      <c r="D265" s="38" t="s">
        <v>38</v>
      </c>
      <c r="E265" s="54"/>
      <c r="F265" s="54"/>
      <c r="G265" s="59"/>
      <c r="H265" s="54">
        <v>1277.03</v>
      </c>
      <c r="I265" s="54"/>
      <c r="J265" s="55">
        <v>221.84</v>
      </c>
      <c r="K265" s="56">
        <v>212.39</v>
      </c>
      <c r="L265" s="55">
        <v>168.46</v>
      </c>
      <c r="M265" s="57">
        <f t="shared" si="34"/>
        <v>200.89666666666668</v>
      </c>
      <c r="N265" s="58">
        <f t="shared" si="35"/>
        <v>157.31554205200086</v>
      </c>
      <c r="O265" s="55">
        <v>88.82</v>
      </c>
      <c r="P265" s="56">
        <v>91.41</v>
      </c>
      <c r="Q265" s="55">
        <v>94.61</v>
      </c>
      <c r="R265" s="57">
        <f t="shared" si="37"/>
        <v>91.61333333333333</v>
      </c>
      <c r="S265" s="58">
        <f t="shared" si="36"/>
        <v>71.73937443390786</v>
      </c>
    </row>
    <row r="266" spans="1:19" ht="15">
      <c r="A266" s="6">
        <v>263</v>
      </c>
      <c r="B266" s="38" t="s">
        <v>85</v>
      </c>
      <c r="C266" s="6">
        <v>3</v>
      </c>
      <c r="D266" s="38" t="s">
        <v>38</v>
      </c>
      <c r="E266" s="54">
        <v>72</v>
      </c>
      <c r="F266" s="54">
        <v>1976</v>
      </c>
      <c r="G266" s="54">
        <v>5074.7</v>
      </c>
      <c r="H266" s="54">
        <f>1845.89+75.8+1725.57</f>
        <v>3647.26</v>
      </c>
      <c r="I266" s="54"/>
      <c r="J266" s="55">
        <f>267.68+8.98+204.36</f>
        <v>481.02000000000004</v>
      </c>
      <c r="K266" s="56">
        <f>243.1+9.06+206.37</f>
        <v>458.53</v>
      </c>
      <c r="L266" s="55">
        <v>442.39</v>
      </c>
      <c r="M266" s="57">
        <f t="shared" si="34"/>
        <v>460.6466666666667</v>
      </c>
      <c r="N266" s="58">
        <f t="shared" si="35"/>
        <v>126.29937724940548</v>
      </c>
      <c r="O266" s="55">
        <f>113.82+1.31+111.57</f>
        <v>226.7</v>
      </c>
      <c r="P266" s="56">
        <f>118.21+0.92+96.22</f>
        <v>215.35</v>
      </c>
      <c r="Q266" s="55">
        <v>219.01</v>
      </c>
      <c r="R266" s="57">
        <f t="shared" si="37"/>
        <v>220.35333333333332</v>
      </c>
      <c r="S266" s="58">
        <f t="shared" si="36"/>
        <v>60.41612973391897</v>
      </c>
    </row>
    <row r="267" spans="1:19" ht="15">
      <c r="A267" s="6">
        <v>264</v>
      </c>
      <c r="B267" s="38" t="s">
        <v>85</v>
      </c>
      <c r="C267" s="6">
        <v>5</v>
      </c>
      <c r="D267" s="38" t="s">
        <v>38</v>
      </c>
      <c r="E267" s="54">
        <v>108</v>
      </c>
      <c r="F267" s="54">
        <v>1974</v>
      </c>
      <c r="G267" s="54">
        <v>7550.1</v>
      </c>
      <c r="H267" s="54">
        <f>1822.95+1767.12+1821.19</f>
        <v>5411.26</v>
      </c>
      <c r="I267" s="54"/>
      <c r="J267" s="55">
        <f>267.82+262.69+283.23</f>
        <v>813.74</v>
      </c>
      <c r="K267" s="56">
        <f>245.46+211.13+278.99</f>
        <v>735.58</v>
      </c>
      <c r="L267" s="55">
        <v>677.43</v>
      </c>
      <c r="M267" s="57">
        <f t="shared" si="34"/>
        <v>742.25</v>
      </c>
      <c r="N267" s="58">
        <f t="shared" si="35"/>
        <v>137.16768368180425</v>
      </c>
      <c r="O267" s="55">
        <f>91.98+77.24+107.99</f>
        <v>277.21</v>
      </c>
      <c r="P267" s="56">
        <f>110.11+79.17+86.08</f>
        <v>275.36</v>
      </c>
      <c r="Q267" s="55">
        <v>280.45</v>
      </c>
      <c r="R267" s="57">
        <f t="shared" si="37"/>
        <v>277.67333333333335</v>
      </c>
      <c r="S267" s="58">
        <f t="shared" si="36"/>
        <v>51.31398848573777</v>
      </c>
    </row>
    <row r="268" spans="1:19" ht="15">
      <c r="A268" s="6">
        <v>265</v>
      </c>
      <c r="B268" s="38" t="s">
        <v>85</v>
      </c>
      <c r="C268" s="6">
        <v>6</v>
      </c>
      <c r="D268" s="38" t="s">
        <v>38</v>
      </c>
      <c r="E268" s="54"/>
      <c r="F268" s="54"/>
      <c r="G268" s="54"/>
      <c r="H268" s="54">
        <v>198.51</v>
      </c>
      <c r="I268" s="54"/>
      <c r="J268" s="55">
        <v>33.95</v>
      </c>
      <c r="K268" s="56">
        <v>36.829</v>
      </c>
      <c r="L268" s="55">
        <v>39.87</v>
      </c>
      <c r="M268" s="57">
        <f t="shared" si="34"/>
        <v>36.883</v>
      </c>
      <c r="N268" s="58">
        <f t="shared" si="35"/>
        <v>185.79920407032392</v>
      </c>
      <c r="O268" s="55">
        <v>8.6</v>
      </c>
      <c r="P268" s="56">
        <v>9.99</v>
      </c>
      <c r="Q268" s="55">
        <v>10.54</v>
      </c>
      <c r="R268" s="57">
        <f t="shared" si="37"/>
        <v>9.709999999999999</v>
      </c>
      <c r="S268" s="58">
        <f t="shared" si="36"/>
        <v>48.914412372172684</v>
      </c>
    </row>
    <row r="269" spans="1:19" ht="15">
      <c r="A269" s="6">
        <v>266</v>
      </c>
      <c r="B269" s="38" t="s">
        <v>85</v>
      </c>
      <c r="C269" s="6">
        <v>14</v>
      </c>
      <c r="D269" s="38" t="s">
        <v>38</v>
      </c>
      <c r="E269" s="54"/>
      <c r="F269" s="54"/>
      <c r="G269" s="54"/>
      <c r="H269" s="54">
        <v>74.34</v>
      </c>
      <c r="I269" s="54"/>
      <c r="J269" s="55">
        <v>14.89</v>
      </c>
      <c r="K269" s="56">
        <v>14.962</v>
      </c>
      <c r="L269" s="55">
        <v>18.81</v>
      </c>
      <c r="M269" s="57">
        <f t="shared" si="34"/>
        <v>16.220666666666666</v>
      </c>
      <c r="N269" s="58">
        <f t="shared" si="35"/>
        <v>218.1956775177114</v>
      </c>
      <c r="O269" s="55">
        <v>0</v>
      </c>
      <c r="P269" s="56">
        <v>0</v>
      </c>
      <c r="Q269" s="55">
        <v>0</v>
      </c>
      <c r="R269" s="57">
        <f t="shared" si="37"/>
        <v>0</v>
      </c>
      <c r="S269" s="58">
        <f t="shared" si="36"/>
        <v>0</v>
      </c>
    </row>
    <row r="270" spans="1:19" ht="15">
      <c r="A270" s="6">
        <v>267</v>
      </c>
      <c r="B270" s="38" t="s">
        <v>85</v>
      </c>
      <c r="C270" s="6">
        <v>22</v>
      </c>
      <c r="D270" s="38" t="s">
        <v>38</v>
      </c>
      <c r="E270" s="54"/>
      <c r="F270" s="54"/>
      <c r="G270" s="54"/>
      <c r="H270" s="54">
        <v>180.9</v>
      </c>
      <c r="I270" s="54"/>
      <c r="J270" s="55">
        <v>28.67</v>
      </c>
      <c r="K270" s="56">
        <v>23.19</v>
      </c>
      <c r="L270" s="55">
        <v>21.88</v>
      </c>
      <c r="M270" s="57">
        <f t="shared" si="34"/>
        <v>24.580000000000002</v>
      </c>
      <c r="N270" s="58">
        <f t="shared" si="35"/>
        <v>135.87617468214484</v>
      </c>
      <c r="O270" s="55">
        <v>8.63</v>
      </c>
      <c r="P270" s="56">
        <v>8.21</v>
      </c>
      <c r="Q270" s="55">
        <v>5.96</v>
      </c>
      <c r="R270" s="57">
        <f t="shared" si="37"/>
        <v>7.600000000000001</v>
      </c>
      <c r="S270" s="58">
        <f t="shared" si="36"/>
        <v>42.0121614151465</v>
      </c>
    </row>
    <row r="271" spans="1:19" s="17" customFormat="1" ht="26.25">
      <c r="A271" s="6">
        <v>268</v>
      </c>
      <c r="B271" s="43" t="s">
        <v>112</v>
      </c>
      <c r="C271" s="10" t="s">
        <v>113</v>
      </c>
      <c r="D271" s="43"/>
      <c r="E271" s="59">
        <v>46</v>
      </c>
      <c r="F271" s="59"/>
      <c r="G271" s="67">
        <v>2672.4</v>
      </c>
      <c r="H271" s="55">
        <v>2672.4</v>
      </c>
      <c r="I271" s="59"/>
      <c r="J271" s="60">
        <v>290.37</v>
      </c>
      <c r="K271" s="55">
        <v>270.04</v>
      </c>
      <c r="L271" s="60">
        <v>235.70550000000003</v>
      </c>
      <c r="M271" s="57">
        <f t="shared" si="34"/>
        <v>265.37183333333337</v>
      </c>
      <c r="N271" s="58">
        <f t="shared" si="35"/>
        <v>99.30094047797238</v>
      </c>
      <c r="O271" s="60">
        <v>216.66</v>
      </c>
      <c r="P271" s="55">
        <v>190.78</v>
      </c>
      <c r="Q271" s="60">
        <v>186.5545</v>
      </c>
      <c r="R271" s="57">
        <f t="shared" si="37"/>
        <v>197.99816666666666</v>
      </c>
      <c r="S271" s="58">
        <f t="shared" si="36"/>
        <v>74.09001895923764</v>
      </c>
    </row>
    <row r="272" spans="1:19" ht="26.25">
      <c r="A272" s="6">
        <v>269</v>
      </c>
      <c r="B272" s="38" t="s">
        <v>86</v>
      </c>
      <c r="C272" s="6">
        <v>5</v>
      </c>
      <c r="D272" s="38" t="s">
        <v>38</v>
      </c>
      <c r="E272" s="54">
        <v>12</v>
      </c>
      <c r="F272" s="54"/>
      <c r="G272" s="59">
        <v>526.2</v>
      </c>
      <c r="H272" s="54">
        <v>508.22</v>
      </c>
      <c r="I272" s="54"/>
      <c r="J272" s="55">
        <v>117.48</v>
      </c>
      <c r="K272" s="56">
        <v>84.89</v>
      </c>
      <c r="L272" s="55">
        <v>79.42</v>
      </c>
      <c r="M272" s="57">
        <f aca="true" t="shared" si="38" ref="M272:M315">(L272+K272+J272)/3</f>
        <v>93.93</v>
      </c>
      <c r="N272" s="58">
        <f t="shared" si="35"/>
        <v>184.82153398134665</v>
      </c>
      <c r="O272" s="55">
        <v>31.02</v>
      </c>
      <c r="P272" s="56">
        <v>31.74</v>
      </c>
      <c r="Q272" s="55">
        <v>32.19</v>
      </c>
      <c r="R272" s="57">
        <f t="shared" si="37"/>
        <v>31.649999999999995</v>
      </c>
      <c r="S272" s="58">
        <f t="shared" si="36"/>
        <v>62.27617960725669</v>
      </c>
    </row>
    <row r="273" spans="1:19" ht="26.25">
      <c r="A273" s="6">
        <v>270</v>
      </c>
      <c r="B273" s="38" t="s">
        <v>86</v>
      </c>
      <c r="C273" s="6">
        <v>7</v>
      </c>
      <c r="D273" s="38" t="s">
        <v>38</v>
      </c>
      <c r="E273" s="54"/>
      <c r="F273" s="54"/>
      <c r="G273" s="59">
        <f>34.69+506.3</f>
        <v>540.99</v>
      </c>
      <c r="H273" s="54">
        <f>48.57+487.73</f>
        <v>536.3000000000001</v>
      </c>
      <c r="I273" s="54"/>
      <c r="J273" s="55">
        <f>7.77+78.1</f>
        <v>85.86999999999999</v>
      </c>
      <c r="K273" s="56">
        <f>8.04+67.52</f>
        <v>75.56</v>
      </c>
      <c r="L273" s="55">
        <v>70.02</v>
      </c>
      <c r="M273" s="57">
        <f t="shared" si="38"/>
        <v>77.14999999999999</v>
      </c>
      <c r="N273" s="58">
        <f t="shared" si="35"/>
        <v>143.85605071788174</v>
      </c>
      <c r="O273" s="55">
        <f>0.7+28.35</f>
        <v>29.05</v>
      </c>
      <c r="P273" s="56">
        <f>0.81+29.69</f>
        <v>30.5</v>
      </c>
      <c r="Q273" s="55">
        <v>23.88</v>
      </c>
      <c r="R273" s="57">
        <f t="shared" si="37"/>
        <v>27.81</v>
      </c>
      <c r="S273" s="58">
        <f t="shared" si="36"/>
        <v>51.855304866679084</v>
      </c>
    </row>
    <row r="274" spans="1:19" ht="26.25">
      <c r="A274" s="6">
        <v>271</v>
      </c>
      <c r="B274" s="38" t="s">
        <v>86</v>
      </c>
      <c r="C274" s="6">
        <v>35</v>
      </c>
      <c r="D274" s="38" t="s">
        <v>38</v>
      </c>
      <c r="E274" s="54">
        <v>90</v>
      </c>
      <c r="F274" s="54">
        <v>1970</v>
      </c>
      <c r="G274" s="54">
        <v>5718.2</v>
      </c>
      <c r="H274" s="54">
        <v>4070.29</v>
      </c>
      <c r="I274" s="54"/>
      <c r="J274" s="55">
        <v>517.15</v>
      </c>
      <c r="K274" s="56">
        <v>590.06</v>
      </c>
      <c r="L274" s="55">
        <v>528.38</v>
      </c>
      <c r="M274" s="57">
        <f t="shared" si="38"/>
        <v>545.1966666666667</v>
      </c>
      <c r="N274" s="58">
        <f t="shared" si="35"/>
        <v>133.94541093304574</v>
      </c>
      <c r="O274" s="55">
        <v>231.39</v>
      </c>
      <c r="P274" s="56">
        <v>229.45</v>
      </c>
      <c r="Q274" s="55">
        <v>218.32</v>
      </c>
      <c r="R274" s="57">
        <f t="shared" si="37"/>
        <v>226.38666666666666</v>
      </c>
      <c r="S274" s="58">
        <f t="shared" si="36"/>
        <v>55.619296577557535</v>
      </c>
    </row>
    <row r="275" spans="1:19" ht="26.25">
      <c r="A275" s="6">
        <v>272</v>
      </c>
      <c r="B275" s="38" t="s">
        <v>86</v>
      </c>
      <c r="C275" s="6" t="s">
        <v>74</v>
      </c>
      <c r="D275" s="38" t="s">
        <v>38</v>
      </c>
      <c r="E275" s="54">
        <v>90</v>
      </c>
      <c r="F275" s="54">
        <v>1970</v>
      </c>
      <c r="G275" s="54">
        <v>5647.7</v>
      </c>
      <c r="H275" s="54">
        <v>4051.24</v>
      </c>
      <c r="I275" s="54"/>
      <c r="J275" s="55">
        <v>634.18</v>
      </c>
      <c r="K275" s="56">
        <v>576.29</v>
      </c>
      <c r="L275" s="55">
        <v>550.16</v>
      </c>
      <c r="M275" s="57">
        <f t="shared" si="38"/>
        <v>586.8766666666666</v>
      </c>
      <c r="N275" s="58">
        <f t="shared" si="35"/>
        <v>144.8634656714158</v>
      </c>
      <c r="O275" s="55">
        <v>256.22</v>
      </c>
      <c r="P275" s="56">
        <v>248.63</v>
      </c>
      <c r="Q275" s="55">
        <v>232.34</v>
      </c>
      <c r="R275" s="57">
        <f t="shared" si="37"/>
        <v>245.73000000000002</v>
      </c>
      <c r="S275" s="58">
        <f t="shared" si="36"/>
        <v>60.65550300648691</v>
      </c>
    </row>
    <row r="276" spans="1:19" ht="15">
      <c r="A276" s="6">
        <v>273</v>
      </c>
      <c r="B276" s="38" t="s">
        <v>87</v>
      </c>
      <c r="C276" s="6">
        <v>5</v>
      </c>
      <c r="D276" s="38" t="s">
        <v>38</v>
      </c>
      <c r="E276" s="54">
        <v>74</v>
      </c>
      <c r="F276" s="54">
        <v>1976</v>
      </c>
      <c r="G276" s="59">
        <v>4009.3</v>
      </c>
      <c r="H276" s="59">
        <v>2569.97</v>
      </c>
      <c r="I276" s="54"/>
      <c r="J276" s="55">
        <v>333.51</v>
      </c>
      <c r="K276" s="56">
        <v>296.36</v>
      </c>
      <c r="L276" s="55">
        <v>273.89</v>
      </c>
      <c r="M276" s="57">
        <f t="shared" si="38"/>
        <v>301.25333333333333</v>
      </c>
      <c r="N276" s="58">
        <f t="shared" si="35"/>
        <v>117.22056418298008</v>
      </c>
      <c r="O276" s="55">
        <v>140.48</v>
      </c>
      <c r="P276" s="56">
        <v>154.47</v>
      </c>
      <c r="Q276" s="55">
        <v>142.98</v>
      </c>
      <c r="R276" s="57">
        <f t="shared" si="37"/>
        <v>145.97666666666666</v>
      </c>
      <c r="S276" s="58">
        <f t="shared" si="36"/>
        <v>56.800922449159586</v>
      </c>
    </row>
    <row r="277" spans="1:19" ht="15">
      <c r="A277" s="6">
        <v>274</v>
      </c>
      <c r="B277" s="38" t="s">
        <v>20</v>
      </c>
      <c r="C277" s="6">
        <v>18</v>
      </c>
      <c r="D277" s="38" t="s">
        <v>8</v>
      </c>
      <c r="E277" s="54">
        <v>14</v>
      </c>
      <c r="F277" s="54"/>
      <c r="G277" s="59">
        <v>675.8</v>
      </c>
      <c r="H277" s="59">
        <v>688</v>
      </c>
      <c r="I277" s="54">
        <v>11</v>
      </c>
      <c r="J277" s="55">
        <v>86.35</v>
      </c>
      <c r="K277" s="55">
        <v>75.5</v>
      </c>
      <c r="L277" s="55">
        <v>73.92</v>
      </c>
      <c r="M277" s="57">
        <f t="shared" si="38"/>
        <v>78.59</v>
      </c>
      <c r="N277" s="58">
        <f t="shared" si="35"/>
        <v>114.2296511627907</v>
      </c>
      <c r="O277" s="55">
        <v>22.67</v>
      </c>
      <c r="P277" s="55">
        <v>27.55</v>
      </c>
      <c r="Q277" s="55">
        <v>22.79</v>
      </c>
      <c r="R277" s="57">
        <f t="shared" si="37"/>
        <v>24.336666666666662</v>
      </c>
      <c r="S277" s="58">
        <f t="shared" si="36"/>
        <v>35.37306201550387</v>
      </c>
    </row>
    <row r="278" spans="1:19" ht="15">
      <c r="A278" s="6">
        <v>275</v>
      </c>
      <c r="B278" s="38" t="s">
        <v>20</v>
      </c>
      <c r="C278" s="6">
        <v>21</v>
      </c>
      <c r="D278" s="38"/>
      <c r="E278" s="54"/>
      <c r="F278" s="54"/>
      <c r="G278" s="67">
        <v>2872.79</v>
      </c>
      <c r="H278" s="55">
        <v>2872.79</v>
      </c>
      <c r="I278" s="54"/>
      <c r="J278" s="60">
        <v>378.44</v>
      </c>
      <c r="K278" s="55">
        <v>396.88</v>
      </c>
      <c r="L278" s="60">
        <v>333.19809999999995</v>
      </c>
      <c r="M278" s="57">
        <f>(L278+K278+J278)/3</f>
        <v>369.50603333333333</v>
      </c>
      <c r="N278" s="58">
        <f t="shared" si="35"/>
        <v>128.622709398645</v>
      </c>
      <c r="O278" s="60">
        <v>142.2</v>
      </c>
      <c r="P278" s="55">
        <v>138.92</v>
      </c>
      <c r="Q278" s="60">
        <v>132.52197999999962</v>
      </c>
      <c r="R278" s="57">
        <f t="shared" si="37"/>
        <v>137.8806599999999</v>
      </c>
      <c r="S278" s="58">
        <f t="shared" si="36"/>
        <v>47.99538427800149</v>
      </c>
    </row>
    <row r="279" spans="1:19" ht="15">
      <c r="A279" s="6">
        <v>276</v>
      </c>
      <c r="B279" s="38" t="s">
        <v>20</v>
      </c>
      <c r="C279" s="6">
        <v>22</v>
      </c>
      <c r="D279" s="38" t="s">
        <v>8</v>
      </c>
      <c r="E279" s="54">
        <v>41</v>
      </c>
      <c r="F279" s="54">
        <v>1968</v>
      </c>
      <c r="G279" s="59">
        <v>1548.7</v>
      </c>
      <c r="H279" s="59">
        <v>1540.08</v>
      </c>
      <c r="I279" s="54">
        <v>80</v>
      </c>
      <c r="J279" s="55">
        <v>212.08</v>
      </c>
      <c r="K279" s="55">
        <v>187.89</v>
      </c>
      <c r="L279" s="55">
        <v>189.81</v>
      </c>
      <c r="M279" s="57">
        <f>(L279+K279+J279)/3</f>
        <v>196.59333333333333</v>
      </c>
      <c r="N279" s="58">
        <f t="shared" si="35"/>
        <v>127.65137741762334</v>
      </c>
      <c r="O279" s="55">
        <v>0</v>
      </c>
      <c r="P279" s="55">
        <v>0</v>
      </c>
      <c r="Q279" s="55">
        <v>0</v>
      </c>
      <c r="R279" s="57">
        <f t="shared" si="37"/>
        <v>0</v>
      </c>
      <c r="S279" s="58">
        <f t="shared" si="36"/>
        <v>0</v>
      </c>
    </row>
    <row r="280" spans="1:19" ht="15">
      <c r="A280" s="6">
        <v>277</v>
      </c>
      <c r="B280" s="38" t="s">
        <v>20</v>
      </c>
      <c r="C280" s="6">
        <v>23</v>
      </c>
      <c r="D280" s="38"/>
      <c r="E280" s="54"/>
      <c r="F280" s="54"/>
      <c r="G280" s="67">
        <v>2892.27</v>
      </c>
      <c r="H280" s="55">
        <v>2892.27</v>
      </c>
      <c r="I280" s="54"/>
      <c r="J280" s="60">
        <v>370.24</v>
      </c>
      <c r="K280" s="55">
        <v>366.04</v>
      </c>
      <c r="L280" s="60">
        <v>335.9952</v>
      </c>
      <c r="M280" s="57">
        <f>(L280+K280+J280)/3</f>
        <v>357.4250666666667</v>
      </c>
      <c r="N280" s="58">
        <f t="shared" si="35"/>
        <v>123.57942607940016</v>
      </c>
      <c r="O280" s="60">
        <v>132.26</v>
      </c>
      <c r="P280" s="55">
        <v>120.96</v>
      </c>
      <c r="Q280" s="60">
        <v>118.51502000000036</v>
      </c>
      <c r="R280" s="57">
        <f t="shared" si="37"/>
        <v>123.91167333333344</v>
      </c>
      <c r="S280" s="58">
        <f t="shared" si="36"/>
        <v>42.842360268347505</v>
      </c>
    </row>
    <row r="281" spans="1:19" ht="15">
      <c r="A281" s="6">
        <v>278</v>
      </c>
      <c r="B281" s="38" t="s">
        <v>20</v>
      </c>
      <c r="C281" s="6">
        <v>24</v>
      </c>
      <c r="D281" s="38" t="s">
        <v>8</v>
      </c>
      <c r="E281" s="54">
        <v>39</v>
      </c>
      <c r="F281" s="54"/>
      <c r="G281" s="59">
        <v>1550.32</v>
      </c>
      <c r="H281" s="59">
        <v>1578.76</v>
      </c>
      <c r="I281" s="54">
        <v>74</v>
      </c>
      <c r="J281" s="55">
        <v>215.38</v>
      </c>
      <c r="K281" s="55">
        <v>191.22</v>
      </c>
      <c r="L281" s="55">
        <v>194.38</v>
      </c>
      <c r="M281" s="57">
        <f>(L281+K281+J281)/3</f>
        <v>200.32666666666668</v>
      </c>
      <c r="N281" s="58">
        <f t="shared" si="35"/>
        <v>126.88861300429873</v>
      </c>
      <c r="O281" s="55">
        <v>0</v>
      </c>
      <c r="P281" s="55">
        <v>0</v>
      </c>
      <c r="Q281" s="55">
        <v>0</v>
      </c>
      <c r="R281" s="57">
        <f t="shared" si="37"/>
        <v>0</v>
      </c>
      <c r="S281" s="58">
        <f t="shared" si="36"/>
        <v>0</v>
      </c>
    </row>
    <row r="282" spans="1:19" ht="15">
      <c r="A282" s="6">
        <v>279</v>
      </c>
      <c r="B282" s="38" t="s">
        <v>20</v>
      </c>
      <c r="C282" s="6">
        <v>3</v>
      </c>
      <c r="D282" s="38" t="s">
        <v>38</v>
      </c>
      <c r="E282" s="54">
        <v>90</v>
      </c>
      <c r="F282" s="54">
        <v>1970</v>
      </c>
      <c r="G282" s="54">
        <v>5399.8</v>
      </c>
      <c r="H282" s="54">
        <v>3927.89</v>
      </c>
      <c r="I282" s="54"/>
      <c r="J282" s="55">
        <v>447.44</v>
      </c>
      <c r="K282" s="56">
        <v>431.6</v>
      </c>
      <c r="L282" s="55">
        <v>405.96</v>
      </c>
      <c r="M282" s="57">
        <f t="shared" si="38"/>
        <v>428.3333333333333</v>
      </c>
      <c r="N282" s="58">
        <f t="shared" si="35"/>
        <v>109.04921811286297</v>
      </c>
      <c r="O282" s="55">
        <v>225.13</v>
      </c>
      <c r="P282" s="56">
        <v>224.39</v>
      </c>
      <c r="Q282" s="55">
        <v>223.19</v>
      </c>
      <c r="R282" s="57">
        <f t="shared" si="37"/>
        <v>224.23666666666668</v>
      </c>
      <c r="S282" s="58">
        <f t="shared" si="36"/>
        <v>57.08832647214324</v>
      </c>
    </row>
    <row r="283" spans="1:19" ht="15">
      <c r="A283" s="6">
        <v>280</v>
      </c>
      <c r="B283" s="38" t="s">
        <v>20</v>
      </c>
      <c r="C283" s="6">
        <v>9</v>
      </c>
      <c r="D283" s="38" t="s">
        <v>38</v>
      </c>
      <c r="E283" s="54">
        <v>55</v>
      </c>
      <c r="F283" s="54">
        <v>1967</v>
      </c>
      <c r="G283" s="54">
        <v>3317</v>
      </c>
      <c r="H283" s="54">
        <v>2376.34</v>
      </c>
      <c r="I283" s="54"/>
      <c r="J283" s="55">
        <v>369.5</v>
      </c>
      <c r="K283" s="56">
        <v>335</v>
      </c>
      <c r="L283" s="55">
        <v>273.6</v>
      </c>
      <c r="M283" s="57">
        <f t="shared" si="38"/>
        <v>326.03333333333336</v>
      </c>
      <c r="N283" s="58">
        <f t="shared" si="35"/>
        <v>137.1997834204421</v>
      </c>
      <c r="O283" s="55">
        <v>112.84</v>
      </c>
      <c r="P283" s="56">
        <v>109.86</v>
      </c>
      <c r="Q283" s="55">
        <v>108.8</v>
      </c>
      <c r="R283" s="57">
        <f t="shared" si="37"/>
        <v>110.5</v>
      </c>
      <c r="S283" s="58">
        <f t="shared" si="36"/>
        <v>46.500079954888605</v>
      </c>
    </row>
    <row r="284" spans="1:19" ht="15">
      <c r="A284" s="6">
        <v>281</v>
      </c>
      <c r="B284" s="38" t="s">
        <v>20</v>
      </c>
      <c r="C284" s="6">
        <v>10</v>
      </c>
      <c r="D284" s="38" t="s">
        <v>38</v>
      </c>
      <c r="E284" s="54">
        <v>43</v>
      </c>
      <c r="F284" s="54">
        <v>1961</v>
      </c>
      <c r="G284" s="54">
        <v>2281.7</v>
      </c>
      <c r="H284" s="54">
        <f>76.62+1643.98</f>
        <v>1720.6</v>
      </c>
      <c r="I284" s="54"/>
      <c r="J284" s="55">
        <f>11.93+256.03</f>
        <v>267.96</v>
      </c>
      <c r="K284" s="56">
        <f>10.98+235.25</f>
        <v>246.23</v>
      </c>
      <c r="L284" s="55">
        <v>228.27</v>
      </c>
      <c r="M284" s="57">
        <f t="shared" si="38"/>
        <v>247.48666666666668</v>
      </c>
      <c r="N284" s="58">
        <f t="shared" si="35"/>
        <v>143.83742105467087</v>
      </c>
      <c r="O284" s="55">
        <f>67.27</f>
        <v>67.27</v>
      </c>
      <c r="P284" s="56">
        <v>66.03</v>
      </c>
      <c r="Q284" s="55">
        <v>64.43</v>
      </c>
      <c r="R284" s="57">
        <f t="shared" si="37"/>
        <v>65.91000000000001</v>
      </c>
      <c r="S284" s="58">
        <f t="shared" si="36"/>
        <v>38.30640474253168</v>
      </c>
    </row>
    <row r="285" spans="1:19" ht="15">
      <c r="A285" s="6">
        <v>282</v>
      </c>
      <c r="B285" s="38" t="s">
        <v>20</v>
      </c>
      <c r="C285" s="6">
        <v>16</v>
      </c>
      <c r="D285" s="38" t="s">
        <v>38</v>
      </c>
      <c r="E285" s="54">
        <v>18</v>
      </c>
      <c r="F285" s="54">
        <v>1957</v>
      </c>
      <c r="G285" s="54">
        <v>2112.5</v>
      </c>
      <c r="H285" s="54">
        <f>275.24+239.4+120.6+1062.09+56.37</f>
        <v>1753.6999999999998</v>
      </c>
      <c r="I285" s="54"/>
      <c r="J285" s="55">
        <f>25.68+29.52+12.93+5.28+113.74</f>
        <v>187.14999999999998</v>
      </c>
      <c r="K285" s="56">
        <f>28.14+24.47+12.32+108.57+5.17</f>
        <v>178.67</v>
      </c>
      <c r="L285" s="55">
        <v>186.9</v>
      </c>
      <c r="M285" s="57">
        <f t="shared" si="38"/>
        <v>184.24</v>
      </c>
      <c r="N285" s="58">
        <f aca="true" t="shared" si="39" ref="N285:N316">M285/H285*1000</f>
        <v>105.05787763015341</v>
      </c>
      <c r="O285" s="55">
        <f>0.96+1.53+39.18</f>
        <v>41.67</v>
      </c>
      <c r="P285" s="56">
        <f>0.5+1.42+42.17</f>
        <v>44.09</v>
      </c>
      <c r="Q285" s="55">
        <v>44.87</v>
      </c>
      <c r="R285" s="57">
        <f t="shared" si="37"/>
        <v>43.54333333333333</v>
      </c>
      <c r="S285" s="58">
        <f t="shared" si="36"/>
        <v>24.82940829864477</v>
      </c>
    </row>
    <row r="286" spans="1:19" ht="15">
      <c r="A286" s="6">
        <v>283</v>
      </c>
      <c r="B286" s="38" t="s">
        <v>20</v>
      </c>
      <c r="C286" s="6">
        <v>17</v>
      </c>
      <c r="D286" s="38" t="s">
        <v>38</v>
      </c>
      <c r="E286" s="54">
        <v>12</v>
      </c>
      <c r="F286" s="54"/>
      <c r="G286" s="59">
        <f>90.74+50.6+674.6</f>
        <v>815.94</v>
      </c>
      <c r="H286" s="54">
        <f>127.04+50.6+540.65</f>
        <v>718.29</v>
      </c>
      <c r="I286" s="54"/>
      <c r="J286" s="55">
        <f>2.62+21.91+93.29</f>
        <v>117.82000000000001</v>
      </c>
      <c r="K286" s="56">
        <f>19.45+7.76+82.77</f>
        <v>109.97999999999999</v>
      </c>
      <c r="L286" s="55">
        <v>81.93</v>
      </c>
      <c r="M286" s="57">
        <f t="shared" si="38"/>
        <v>103.24333333333334</v>
      </c>
      <c r="N286" s="58">
        <f t="shared" si="39"/>
        <v>143.7348888796076</v>
      </c>
      <c r="O286" s="55">
        <f>0.3+20.6</f>
        <v>20.900000000000002</v>
      </c>
      <c r="P286" s="56">
        <f>0.376+18.89</f>
        <v>19.266000000000002</v>
      </c>
      <c r="Q286" s="55">
        <v>18.06</v>
      </c>
      <c r="R286" s="57">
        <f t="shared" si="37"/>
        <v>19.408666666666665</v>
      </c>
      <c r="S286" s="58">
        <f t="shared" si="36"/>
        <v>27.020655538385146</v>
      </c>
    </row>
    <row r="287" spans="1:19" ht="15">
      <c r="A287" s="6">
        <v>284</v>
      </c>
      <c r="B287" s="38" t="s">
        <v>20</v>
      </c>
      <c r="C287" s="6">
        <v>19</v>
      </c>
      <c r="D287" s="38" t="s">
        <v>38</v>
      </c>
      <c r="E287" s="54">
        <v>18</v>
      </c>
      <c r="F287" s="54">
        <v>1960</v>
      </c>
      <c r="G287" s="54">
        <v>1226.7</v>
      </c>
      <c r="H287" s="54">
        <f>249.17+630.8</f>
        <v>879.9699999999999</v>
      </c>
      <c r="I287" s="54"/>
      <c r="J287" s="55">
        <f>94.97+37.73</f>
        <v>132.7</v>
      </c>
      <c r="K287" s="56">
        <f>39.46+99.83</f>
        <v>139.29</v>
      </c>
      <c r="L287" s="55">
        <v>128.04</v>
      </c>
      <c r="M287" s="57">
        <f t="shared" si="38"/>
        <v>133.34333333333333</v>
      </c>
      <c r="N287" s="58">
        <f t="shared" si="39"/>
        <v>151.53168100427666</v>
      </c>
      <c r="O287" s="55">
        <f>33.99+0.95</f>
        <v>34.940000000000005</v>
      </c>
      <c r="P287" s="56">
        <f>0.766+35.75</f>
        <v>36.516</v>
      </c>
      <c r="Q287" s="55">
        <v>31.86</v>
      </c>
      <c r="R287" s="57">
        <f t="shared" si="37"/>
        <v>34.43866666666667</v>
      </c>
      <c r="S287" s="58">
        <f t="shared" si="36"/>
        <v>39.136182672894165</v>
      </c>
    </row>
    <row r="288" spans="1:19" ht="15">
      <c r="A288" s="6">
        <v>285</v>
      </c>
      <c r="B288" s="38" t="s">
        <v>20</v>
      </c>
      <c r="C288" s="6">
        <v>26</v>
      </c>
      <c r="D288" s="38" t="s">
        <v>38</v>
      </c>
      <c r="E288" s="54">
        <v>55</v>
      </c>
      <c r="F288" s="54">
        <v>1968</v>
      </c>
      <c r="G288" s="54">
        <v>3385.3</v>
      </c>
      <c r="H288" s="54">
        <v>2543</v>
      </c>
      <c r="I288" s="54"/>
      <c r="J288" s="55">
        <v>335.48</v>
      </c>
      <c r="K288" s="56">
        <v>331.99</v>
      </c>
      <c r="L288" s="55">
        <v>294.1</v>
      </c>
      <c r="M288" s="57">
        <f t="shared" si="38"/>
        <v>320.52333333333337</v>
      </c>
      <c r="N288" s="58">
        <f t="shared" si="39"/>
        <v>126.04142089395728</v>
      </c>
      <c r="O288" s="55">
        <v>134.52</v>
      </c>
      <c r="P288" s="56">
        <v>147.41</v>
      </c>
      <c r="Q288" s="55">
        <v>140.03</v>
      </c>
      <c r="R288" s="57">
        <f t="shared" si="37"/>
        <v>140.65333333333334</v>
      </c>
      <c r="S288" s="58">
        <f t="shared" si="36"/>
        <v>55.31000131078778</v>
      </c>
    </row>
    <row r="289" spans="1:19" ht="15">
      <c r="A289" s="6">
        <v>286</v>
      </c>
      <c r="B289" s="38" t="s">
        <v>21</v>
      </c>
      <c r="C289" s="6">
        <v>53</v>
      </c>
      <c r="D289" s="38" t="s">
        <v>38</v>
      </c>
      <c r="E289" s="54"/>
      <c r="F289" s="54">
        <v>1985</v>
      </c>
      <c r="G289" s="54">
        <v>2245.4</v>
      </c>
      <c r="H289" s="54">
        <v>1732.54</v>
      </c>
      <c r="I289" s="54"/>
      <c r="J289" s="55">
        <v>238.96</v>
      </c>
      <c r="K289" s="56">
        <v>225.57</v>
      </c>
      <c r="L289" s="55">
        <v>219.64</v>
      </c>
      <c r="M289" s="57">
        <f t="shared" si="38"/>
        <v>228.05666666666664</v>
      </c>
      <c r="N289" s="58">
        <f t="shared" si="39"/>
        <v>131.6314005256252</v>
      </c>
      <c r="O289" s="55">
        <v>89.1</v>
      </c>
      <c r="P289" s="56">
        <v>84.64</v>
      </c>
      <c r="Q289" s="55">
        <v>82.26</v>
      </c>
      <c r="R289" s="57">
        <f t="shared" si="37"/>
        <v>85.33333333333333</v>
      </c>
      <c r="S289" s="58">
        <f t="shared" si="36"/>
        <v>49.25331209284249</v>
      </c>
    </row>
    <row r="290" spans="1:19" ht="15">
      <c r="A290" s="6">
        <v>287</v>
      </c>
      <c r="B290" s="38" t="s">
        <v>21</v>
      </c>
      <c r="C290" s="6">
        <v>55</v>
      </c>
      <c r="D290" s="38" t="s">
        <v>38</v>
      </c>
      <c r="E290" s="54"/>
      <c r="F290" s="54"/>
      <c r="G290" s="59">
        <f>1966+1961+226</f>
        <v>4153</v>
      </c>
      <c r="H290" s="54">
        <f>1784.59+1718.91+226</f>
        <v>3729.5</v>
      </c>
      <c r="I290" s="54"/>
      <c r="J290" s="55">
        <f>211.9+223.68+12.77</f>
        <v>448.35</v>
      </c>
      <c r="K290" s="56">
        <f>197+207.13+9.16</f>
        <v>413.29</v>
      </c>
      <c r="L290" s="55">
        <v>314.15</v>
      </c>
      <c r="M290" s="57">
        <f t="shared" si="38"/>
        <v>391.93</v>
      </c>
      <c r="N290" s="58">
        <f t="shared" si="39"/>
        <v>105.08915404209681</v>
      </c>
      <c r="O290" s="55">
        <f>119.78+107.31+0</f>
        <v>227.09</v>
      </c>
      <c r="P290" s="56">
        <f>125.56+106.79</f>
        <v>232.35000000000002</v>
      </c>
      <c r="Q290" s="55">
        <v>187.1</v>
      </c>
      <c r="R290" s="57">
        <f t="shared" si="37"/>
        <v>215.51333333333335</v>
      </c>
      <c r="S290" s="58">
        <f t="shared" si="36"/>
        <v>57.78611967645351</v>
      </c>
    </row>
    <row r="291" spans="1:19" ht="15">
      <c r="A291" s="6">
        <v>288</v>
      </c>
      <c r="B291" s="38" t="s">
        <v>21</v>
      </c>
      <c r="C291" s="6">
        <v>57</v>
      </c>
      <c r="D291" s="38" t="s">
        <v>38</v>
      </c>
      <c r="E291" s="54"/>
      <c r="F291" s="54"/>
      <c r="G291" s="59">
        <v>1942</v>
      </c>
      <c r="H291" s="54">
        <v>1762.39</v>
      </c>
      <c r="I291" s="54"/>
      <c r="J291" s="55">
        <v>246.85</v>
      </c>
      <c r="K291" s="56">
        <v>224.13</v>
      </c>
      <c r="L291" s="55">
        <v>214.32</v>
      </c>
      <c r="M291" s="57">
        <f t="shared" si="38"/>
        <v>228.4333333333333</v>
      </c>
      <c r="N291" s="58">
        <f t="shared" si="39"/>
        <v>129.61565449947702</v>
      </c>
      <c r="O291" s="55">
        <v>104.21</v>
      </c>
      <c r="P291" s="56">
        <v>101.55</v>
      </c>
      <c r="Q291" s="55">
        <v>90.23</v>
      </c>
      <c r="R291" s="57">
        <f t="shared" si="37"/>
        <v>98.66333333333334</v>
      </c>
      <c r="S291" s="58">
        <f t="shared" si="36"/>
        <v>55.98269017262543</v>
      </c>
    </row>
    <row r="292" spans="1:19" ht="15">
      <c r="A292" s="6">
        <v>289</v>
      </c>
      <c r="B292" s="38" t="s">
        <v>88</v>
      </c>
      <c r="C292" s="6">
        <v>4</v>
      </c>
      <c r="D292" s="38" t="s">
        <v>38</v>
      </c>
      <c r="E292" s="54"/>
      <c r="F292" s="54"/>
      <c r="G292" s="59">
        <v>528.1</v>
      </c>
      <c r="H292" s="54">
        <v>416.86</v>
      </c>
      <c r="I292" s="54"/>
      <c r="J292" s="55">
        <v>76.74</v>
      </c>
      <c r="K292" s="56">
        <v>71.65</v>
      </c>
      <c r="L292" s="55">
        <v>64.01</v>
      </c>
      <c r="M292" s="57">
        <f t="shared" si="38"/>
        <v>70.80000000000001</v>
      </c>
      <c r="N292" s="58">
        <f t="shared" si="39"/>
        <v>169.84119368612966</v>
      </c>
      <c r="O292" s="55">
        <v>24.8</v>
      </c>
      <c r="P292" s="56">
        <v>27.41</v>
      </c>
      <c r="Q292" s="55">
        <v>25.51</v>
      </c>
      <c r="R292" s="57">
        <f t="shared" si="37"/>
        <v>25.906666666666666</v>
      </c>
      <c r="S292" s="58">
        <f t="shared" si="36"/>
        <v>62.147163716035756</v>
      </c>
    </row>
    <row r="293" spans="1:19" ht="15">
      <c r="A293" s="6">
        <v>290</v>
      </c>
      <c r="B293" s="38" t="s">
        <v>88</v>
      </c>
      <c r="C293" s="6">
        <v>8</v>
      </c>
      <c r="D293" s="38" t="s">
        <v>38</v>
      </c>
      <c r="E293" s="54">
        <v>12</v>
      </c>
      <c r="F293" s="54"/>
      <c r="G293" s="59">
        <v>542.18</v>
      </c>
      <c r="H293" s="54">
        <f>42.2+542.18</f>
        <v>584.38</v>
      </c>
      <c r="I293" s="54"/>
      <c r="J293" s="55">
        <v>108.59</v>
      </c>
      <c r="K293" s="56">
        <f>0.81+95.07</f>
        <v>95.88</v>
      </c>
      <c r="L293" s="55">
        <v>90.43</v>
      </c>
      <c r="M293" s="57">
        <f t="shared" si="38"/>
        <v>98.3</v>
      </c>
      <c r="N293" s="58">
        <f t="shared" si="39"/>
        <v>168.2124644922824</v>
      </c>
      <c r="O293" s="55">
        <v>0</v>
      </c>
      <c r="P293" s="56">
        <v>0</v>
      </c>
      <c r="Q293" s="55">
        <v>0</v>
      </c>
      <c r="R293" s="57">
        <f t="shared" si="37"/>
        <v>0</v>
      </c>
      <c r="S293" s="58">
        <f t="shared" si="36"/>
        <v>0</v>
      </c>
    </row>
    <row r="294" spans="1:19" ht="15">
      <c r="A294" s="6">
        <v>291</v>
      </c>
      <c r="B294" s="38" t="s">
        <v>22</v>
      </c>
      <c r="C294" s="6">
        <v>1</v>
      </c>
      <c r="D294" s="38" t="s">
        <v>8</v>
      </c>
      <c r="E294" s="54">
        <v>12</v>
      </c>
      <c r="F294" s="54"/>
      <c r="G294" s="59">
        <v>529.8</v>
      </c>
      <c r="H294" s="59">
        <v>478.92</v>
      </c>
      <c r="I294" s="54">
        <v>28</v>
      </c>
      <c r="J294" s="60">
        <v>92.22</v>
      </c>
      <c r="K294" s="55">
        <v>78.84</v>
      </c>
      <c r="L294" s="60">
        <v>71.29263769330402</v>
      </c>
      <c r="M294" s="57">
        <f t="shared" si="38"/>
        <v>80.78421256443467</v>
      </c>
      <c r="N294" s="58">
        <f t="shared" si="39"/>
        <v>168.6799727813302</v>
      </c>
      <c r="O294" s="60">
        <v>23.77</v>
      </c>
      <c r="P294" s="55">
        <v>25.23</v>
      </c>
      <c r="Q294" s="60">
        <v>23.64736230669597</v>
      </c>
      <c r="R294" s="57">
        <f t="shared" si="37"/>
        <v>24.21578743556532</v>
      </c>
      <c r="S294" s="58">
        <f t="shared" si="36"/>
        <v>50.56332463786294</v>
      </c>
    </row>
    <row r="295" spans="1:19" ht="15">
      <c r="A295" s="6">
        <v>292</v>
      </c>
      <c r="B295" s="38" t="s">
        <v>22</v>
      </c>
      <c r="C295" s="6">
        <v>2</v>
      </c>
      <c r="D295" s="38" t="s">
        <v>8</v>
      </c>
      <c r="E295" s="54">
        <v>13</v>
      </c>
      <c r="F295" s="54"/>
      <c r="G295" s="59">
        <v>520.6</v>
      </c>
      <c r="H295" s="59">
        <v>504.44</v>
      </c>
      <c r="I295" s="54">
        <v>27</v>
      </c>
      <c r="J295" s="60">
        <v>93.49</v>
      </c>
      <c r="K295" s="55">
        <v>78.78</v>
      </c>
      <c r="L295" s="60">
        <v>81.84124369407486</v>
      </c>
      <c r="M295" s="57">
        <f t="shared" si="38"/>
        <v>84.70374789802496</v>
      </c>
      <c r="N295" s="58">
        <f t="shared" si="39"/>
        <v>167.91639818020965</v>
      </c>
      <c r="O295" s="60">
        <v>22.62</v>
      </c>
      <c r="P295" s="55">
        <v>20.85</v>
      </c>
      <c r="Q295" s="60">
        <v>23.73775630592513</v>
      </c>
      <c r="R295" s="57">
        <f t="shared" si="37"/>
        <v>22.402585435308378</v>
      </c>
      <c r="S295" s="58">
        <f t="shared" si="36"/>
        <v>44.41080294050507</v>
      </c>
    </row>
    <row r="296" spans="1:19" ht="15">
      <c r="A296" s="6">
        <v>293</v>
      </c>
      <c r="B296" s="38" t="s">
        <v>89</v>
      </c>
      <c r="C296" s="6">
        <v>5</v>
      </c>
      <c r="D296" s="38" t="s">
        <v>38</v>
      </c>
      <c r="E296" s="54"/>
      <c r="F296" s="54"/>
      <c r="G296" s="59">
        <v>1063</v>
      </c>
      <c r="H296" s="54">
        <v>1048.22</v>
      </c>
      <c r="I296" s="54"/>
      <c r="J296" s="55">
        <v>159.35</v>
      </c>
      <c r="K296" s="56">
        <v>132.88</v>
      </c>
      <c r="L296" s="55">
        <v>114.58</v>
      </c>
      <c r="M296" s="57">
        <f t="shared" si="38"/>
        <v>135.60333333333332</v>
      </c>
      <c r="N296" s="58">
        <f t="shared" si="39"/>
        <v>129.36533679316682</v>
      </c>
      <c r="O296" s="55">
        <v>67.14</v>
      </c>
      <c r="P296" s="56">
        <v>60.02</v>
      </c>
      <c r="Q296" s="55">
        <v>60.02</v>
      </c>
      <c r="R296" s="57">
        <f t="shared" si="37"/>
        <v>62.39333333333334</v>
      </c>
      <c r="S296" s="58">
        <f t="shared" si="36"/>
        <v>59.52312809651918</v>
      </c>
    </row>
    <row r="297" spans="1:19" ht="15">
      <c r="A297" s="6">
        <v>294</v>
      </c>
      <c r="B297" s="38" t="s">
        <v>90</v>
      </c>
      <c r="C297" s="6">
        <v>21</v>
      </c>
      <c r="D297" s="38" t="s">
        <v>38</v>
      </c>
      <c r="E297" s="54"/>
      <c r="F297" s="54"/>
      <c r="G297" s="59">
        <f>1855+83.5</f>
        <v>1938.5</v>
      </c>
      <c r="H297" s="54">
        <f>1792.41+105.02</f>
        <v>1897.43</v>
      </c>
      <c r="I297" s="54"/>
      <c r="J297" s="55">
        <f>16.85+287.16</f>
        <v>304.01000000000005</v>
      </c>
      <c r="K297" s="56">
        <f>259.64+15.21</f>
        <v>274.84999999999997</v>
      </c>
      <c r="L297" s="55">
        <f>126.09</f>
        <v>126.09</v>
      </c>
      <c r="M297" s="57">
        <f t="shared" si="38"/>
        <v>234.98333333333335</v>
      </c>
      <c r="N297" s="58">
        <f t="shared" si="39"/>
        <v>123.84295248485232</v>
      </c>
      <c r="O297" s="55">
        <v>251.29</v>
      </c>
      <c r="P297" s="56">
        <v>119.15</v>
      </c>
      <c r="Q297" s="55">
        <v>135.29</v>
      </c>
      <c r="R297" s="57">
        <f t="shared" si="37"/>
        <v>168.57666666666668</v>
      </c>
      <c r="S297" s="58">
        <f t="shared" si="36"/>
        <v>88.84473559850255</v>
      </c>
    </row>
    <row r="298" spans="1:19" ht="15">
      <c r="A298" s="6">
        <v>295</v>
      </c>
      <c r="B298" s="38" t="s">
        <v>91</v>
      </c>
      <c r="C298" s="6">
        <v>17</v>
      </c>
      <c r="D298" s="38" t="s">
        <v>38</v>
      </c>
      <c r="E298" s="54"/>
      <c r="F298" s="54"/>
      <c r="G298" s="59">
        <f>1866+1861</f>
        <v>3727</v>
      </c>
      <c r="H298" s="54">
        <f>1823.64+1861.4</f>
        <v>3685.04</v>
      </c>
      <c r="I298" s="54"/>
      <c r="J298" s="55">
        <f>227.45+214.77</f>
        <v>442.22</v>
      </c>
      <c r="K298" s="56">
        <f>202.86+246.36</f>
        <v>449.22</v>
      </c>
      <c r="L298" s="55">
        <v>411.29</v>
      </c>
      <c r="M298" s="57">
        <f t="shared" si="38"/>
        <v>434.24333333333334</v>
      </c>
      <c r="N298" s="58">
        <f t="shared" si="39"/>
        <v>117.83951689352988</v>
      </c>
      <c r="O298" s="55">
        <f>130.05+94.83</f>
        <v>224.88</v>
      </c>
      <c r="P298" s="56">
        <f>129.01+105.81</f>
        <v>234.82</v>
      </c>
      <c r="Q298" s="55">
        <v>232.68</v>
      </c>
      <c r="R298" s="57">
        <f t="shared" si="37"/>
        <v>230.79333333333332</v>
      </c>
      <c r="S298" s="58">
        <f t="shared" si="36"/>
        <v>62.629804108865386</v>
      </c>
    </row>
    <row r="299" spans="1:19" ht="15">
      <c r="A299" s="6">
        <v>296</v>
      </c>
      <c r="B299" s="38" t="s">
        <v>91</v>
      </c>
      <c r="C299" s="6">
        <v>33</v>
      </c>
      <c r="D299" s="38" t="s">
        <v>38</v>
      </c>
      <c r="E299" s="54"/>
      <c r="F299" s="54">
        <v>1991</v>
      </c>
      <c r="G299" s="54">
        <v>6680.8</v>
      </c>
      <c r="H299" s="54">
        <f>4881.88+208.76</f>
        <v>5090.64</v>
      </c>
      <c r="I299" s="54"/>
      <c r="J299" s="55">
        <f>651.55+18.29</f>
        <v>669.8399999999999</v>
      </c>
      <c r="K299" s="56">
        <f>657.9+21.83</f>
        <v>679.73</v>
      </c>
      <c r="L299" s="55">
        <v>623.64</v>
      </c>
      <c r="M299" s="57">
        <f t="shared" si="38"/>
        <v>657.7366666666666</v>
      </c>
      <c r="N299" s="58">
        <f t="shared" si="39"/>
        <v>129.20510322212266</v>
      </c>
      <c r="O299" s="55">
        <v>268.76</v>
      </c>
      <c r="P299" s="56">
        <f>269.41+0.97</f>
        <v>270.38000000000005</v>
      </c>
      <c r="Q299" s="55">
        <v>272.56</v>
      </c>
      <c r="R299" s="57">
        <f t="shared" si="37"/>
        <v>270.56666666666666</v>
      </c>
      <c r="S299" s="58">
        <f t="shared" si="36"/>
        <v>53.14983315784786</v>
      </c>
    </row>
    <row r="300" spans="1:19" ht="15">
      <c r="A300" s="6">
        <v>297</v>
      </c>
      <c r="B300" s="38" t="s">
        <v>91</v>
      </c>
      <c r="C300" s="6">
        <v>41</v>
      </c>
      <c r="D300" s="38" t="s">
        <v>38</v>
      </c>
      <c r="E300" s="54">
        <v>29</v>
      </c>
      <c r="F300" s="54">
        <v>1982</v>
      </c>
      <c r="G300" s="54">
        <v>1886.6</v>
      </c>
      <c r="H300" s="54">
        <f>1286.23+8.41</f>
        <v>1294.64</v>
      </c>
      <c r="I300" s="54"/>
      <c r="J300" s="55">
        <f>1.31+203.59</f>
        <v>204.9</v>
      </c>
      <c r="K300" s="56">
        <f>179.354+1.16</f>
        <v>180.514</v>
      </c>
      <c r="L300" s="55">
        <v>166.61</v>
      </c>
      <c r="M300" s="57">
        <f t="shared" si="38"/>
        <v>184.008</v>
      </c>
      <c r="N300" s="58">
        <f t="shared" si="39"/>
        <v>142.13063090897856</v>
      </c>
      <c r="O300" s="55">
        <f>0.64+87.88</f>
        <v>88.52</v>
      </c>
      <c r="P300" s="56">
        <f>85.64+0.026</f>
        <v>85.666</v>
      </c>
      <c r="Q300" s="55">
        <v>84.47</v>
      </c>
      <c r="R300" s="57">
        <f t="shared" si="37"/>
        <v>86.21866666666665</v>
      </c>
      <c r="S300" s="58">
        <f t="shared" si="36"/>
        <v>66.59663432820447</v>
      </c>
    </row>
    <row r="301" spans="1:19" ht="15">
      <c r="A301" s="6">
        <v>298</v>
      </c>
      <c r="B301" s="38" t="s">
        <v>91</v>
      </c>
      <c r="C301" s="6">
        <v>43</v>
      </c>
      <c r="D301" s="38" t="s">
        <v>38</v>
      </c>
      <c r="E301" s="54"/>
      <c r="F301" s="54">
        <v>1985</v>
      </c>
      <c r="G301" s="54">
        <v>7429.1</v>
      </c>
      <c r="H301" s="54">
        <f>2755.02+2544.62</f>
        <v>5299.639999999999</v>
      </c>
      <c r="I301" s="54"/>
      <c r="J301" s="55">
        <f>383+329.78</f>
        <v>712.78</v>
      </c>
      <c r="K301" s="56">
        <f>340.6+316.83</f>
        <v>657.4300000000001</v>
      </c>
      <c r="L301" s="55">
        <v>573.06</v>
      </c>
      <c r="M301" s="57">
        <f t="shared" si="38"/>
        <v>647.7566666666667</v>
      </c>
      <c r="N301" s="58">
        <f t="shared" si="39"/>
        <v>122.22654117386591</v>
      </c>
      <c r="O301" s="55">
        <f>156.4+161.92</f>
        <v>318.32</v>
      </c>
      <c r="P301" s="56">
        <f>157+154.67</f>
        <v>311.66999999999996</v>
      </c>
      <c r="Q301" s="55">
        <v>308.62</v>
      </c>
      <c r="R301" s="57">
        <f t="shared" si="37"/>
        <v>312.87</v>
      </c>
      <c r="S301" s="58">
        <f t="shared" si="36"/>
        <v>59.03608546995646</v>
      </c>
    </row>
    <row r="302" spans="1:19" ht="15">
      <c r="A302" s="6">
        <v>299</v>
      </c>
      <c r="B302" s="38" t="s">
        <v>91</v>
      </c>
      <c r="C302" s="6">
        <v>45</v>
      </c>
      <c r="D302" s="38" t="s">
        <v>38</v>
      </c>
      <c r="E302" s="54"/>
      <c r="F302" s="54">
        <v>1982</v>
      </c>
      <c r="G302" s="54">
        <v>2747.6</v>
      </c>
      <c r="H302" s="54">
        <v>1827.14</v>
      </c>
      <c r="I302" s="54"/>
      <c r="J302" s="55">
        <v>297.97</v>
      </c>
      <c r="K302" s="56">
        <v>285.05</v>
      </c>
      <c r="L302" s="55">
        <v>241.12</v>
      </c>
      <c r="M302" s="57">
        <f t="shared" si="38"/>
        <v>274.71333333333337</v>
      </c>
      <c r="N302" s="58">
        <f t="shared" si="39"/>
        <v>150.35155124037203</v>
      </c>
      <c r="O302" s="55">
        <v>109.63</v>
      </c>
      <c r="P302" s="56">
        <v>107.55</v>
      </c>
      <c r="Q302" s="55">
        <v>114.88</v>
      </c>
      <c r="R302" s="57">
        <f t="shared" si="37"/>
        <v>110.68666666666667</v>
      </c>
      <c r="S302" s="58">
        <f t="shared" si="36"/>
        <v>60.57919298284021</v>
      </c>
    </row>
    <row r="303" spans="1:19" ht="15">
      <c r="A303" s="6">
        <v>300</v>
      </c>
      <c r="B303" s="38" t="s">
        <v>91</v>
      </c>
      <c r="C303" s="6">
        <v>47</v>
      </c>
      <c r="D303" s="38" t="s">
        <v>38</v>
      </c>
      <c r="E303" s="54"/>
      <c r="F303" s="54"/>
      <c r="G303" s="59">
        <v>1364</v>
      </c>
      <c r="H303" s="54">
        <v>1238.15</v>
      </c>
      <c r="I303" s="54"/>
      <c r="J303" s="55">
        <v>203.53</v>
      </c>
      <c r="K303" s="56">
        <v>195.7</v>
      </c>
      <c r="L303" s="55">
        <v>191.22</v>
      </c>
      <c r="M303" s="57">
        <f t="shared" si="38"/>
        <v>196.81666666666663</v>
      </c>
      <c r="N303" s="58">
        <f t="shared" si="39"/>
        <v>158.96027675698957</v>
      </c>
      <c r="O303" s="55">
        <v>77.27</v>
      </c>
      <c r="P303" s="56">
        <v>77</v>
      </c>
      <c r="Q303" s="55">
        <v>84.48</v>
      </c>
      <c r="R303" s="57">
        <f t="shared" si="37"/>
        <v>79.58333333333333</v>
      </c>
      <c r="S303" s="58">
        <f t="shared" si="36"/>
        <v>64.27600317678255</v>
      </c>
    </row>
    <row r="304" spans="1:19" ht="36" customHeight="1">
      <c r="A304" s="6">
        <v>301</v>
      </c>
      <c r="B304" s="52" t="s">
        <v>91</v>
      </c>
      <c r="C304" s="15" t="s">
        <v>92</v>
      </c>
      <c r="D304" s="41" t="s">
        <v>93</v>
      </c>
      <c r="E304" s="56"/>
      <c r="F304" s="56">
        <v>1985</v>
      </c>
      <c r="G304" s="56">
        <v>7411.8</v>
      </c>
      <c r="H304" s="55">
        <v>5532</v>
      </c>
      <c r="I304" s="56"/>
      <c r="J304" s="55">
        <v>712.3</v>
      </c>
      <c r="K304" s="55">
        <v>768.17</v>
      </c>
      <c r="L304" s="55">
        <v>676.11</v>
      </c>
      <c r="M304" s="57">
        <f t="shared" si="38"/>
        <v>718.86</v>
      </c>
      <c r="N304" s="58">
        <f t="shared" si="39"/>
        <v>129.94577006507592</v>
      </c>
      <c r="O304" s="55">
        <v>352.8</v>
      </c>
      <c r="P304" s="55">
        <v>352.33</v>
      </c>
      <c r="Q304" s="55">
        <v>318.75</v>
      </c>
      <c r="R304" s="57">
        <f t="shared" si="37"/>
        <v>341.29333333333335</v>
      </c>
      <c r="S304" s="58">
        <f t="shared" si="36"/>
        <v>61.6943841889612</v>
      </c>
    </row>
    <row r="305" spans="1:19" ht="15">
      <c r="A305" s="6">
        <v>302</v>
      </c>
      <c r="B305" s="38" t="s">
        <v>91</v>
      </c>
      <c r="C305" s="6">
        <v>51</v>
      </c>
      <c r="D305" s="38" t="s">
        <v>38</v>
      </c>
      <c r="E305" s="54"/>
      <c r="F305" s="54">
        <v>1981</v>
      </c>
      <c r="G305" s="54">
        <v>2793.6</v>
      </c>
      <c r="H305" s="54">
        <v>1788.11</v>
      </c>
      <c r="I305" s="54"/>
      <c r="J305" s="55">
        <v>295.56</v>
      </c>
      <c r="K305" s="56">
        <v>279.43</v>
      </c>
      <c r="L305" s="55">
        <v>263.07</v>
      </c>
      <c r="M305" s="57">
        <f t="shared" si="38"/>
        <v>279.3533333333333</v>
      </c>
      <c r="N305" s="58">
        <f t="shared" si="39"/>
        <v>156.22827081853652</v>
      </c>
      <c r="O305" s="55">
        <v>263.07</v>
      </c>
      <c r="P305" s="56">
        <v>97.12</v>
      </c>
      <c r="Q305" s="55">
        <v>96.23</v>
      </c>
      <c r="R305" s="57">
        <f t="shared" si="37"/>
        <v>152.14000000000001</v>
      </c>
      <c r="S305" s="58">
        <f t="shared" si="36"/>
        <v>85.08425096890014</v>
      </c>
    </row>
    <row r="306" spans="1:19" ht="15">
      <c r="A306" s="6">
        <v>303</v>
      </c>
      <c r="B306" s="38" t="s">
        <v>91</v>
      </c>
      <c r="C306" s="6">
        <v>53</v>
      </c>
      <c r="D306" s="38" t="s">
        <v>38</v>
      </c>
      <c r="E306" s="54"/>
      <c r="F306" s="54">
        <v>1981</v>
      </c>
      <c r="G306" s="54">
        <v>7347</v>
      </c>
      <c r="H306" s="54">
        <f>14.7+3242.76+2075.05</f>
        <v>5332.51</v>
      </c>
      <c r="I306" s="54"/>
      <c r="J306" s="55">
        <f>299.32+462.19+2.11</f>
        <v>763.62</v>
      </c>
      <c r="K306" s="56">
        <f>2.09+463.06+261.35</f>
        <v>726.5</v>
      </c>
      <c r="L306" s="55">
        <v>675.48</v>
      </c>
      <c r="M306" s="57">
        <f t="shared" si="38"/>
        <v>721.8666666666667</v>
      </c>
      <c r="N306" s="58">
        <f t="shared" si="39"/>
        <v>135.3708978823606</v>
      </c>
      <c r="O306" s="55">
        <v>675.48</v>
      </c>
      <c r="P306" s="56">
        <f>187.45+122.55</f>
        <v>310</v>
      </c>
      <c r="Q306" s="55">
        <v>305.22</v>
      </c>
      <c r="R306" s="57">
        <f t="shared" si="37"/>
        <v>430.23333333333335</v>
      </c>
      <c r="S306" s="58">
        <f t="shared" si="36"/>
        <v>80.68120516104673</v>
      </c>
    </row>
    <row r="307" spans="1:19" ht="15">
      <c r="A307" s="6">
        <v>304</v>
      </c>
      <c r="B307" s="38" t="s">
        <v>91</v>
      </c>
      <c r="C307" s="6">
        <v>59</v>
      </c>
      <c r="D307" s="38" t="s">
        <v>38</v>
      </c>
      <c r="E307" s="54"/>
      <c r="F307" s="54">
        <v>1977</v>
      </c>
      <c r="G307" s="54">
        <v>4556.4</v>
      </c>
      <c r="H307" s="54">
        <v>3020.65</v>
      </c>
      <c r="I307" s="54"/>
      <c r="J307" s="55">
        <v>407.96</v>
      </c>
      <c r="K307" s="56">
        <v>406.37</v>
      </c>
      <c r="L307" s="55">
        <v>368.91</v>
      </c>
      <c r="M307" s="57">
        <f t="shared" si="38"/>
        <v>394.41333333333336</v>
      </c>
      <c r="N307" s="58">
        <f t="shared" si="39"/>
        <v>130.57233818328285</v>
      </c>
      <c r="O307" s="55">
        <v>368.91</v>
      </c>
      <c r="P307" s="56">
        <v>165.33</v>
      </c>
      <c r="Q307" s="55">
        <v>158.34</v>
      </c>
      <c r="R307" s="57">
        <f t="shared" si="37"/>
        <v>230.86</v>
      </c>
      <c r="S307" s="58">
        <f t="shared" si="36"/>
        <v>76.42725903365171</v>
      </c>
    </row>
    <row r="308" spans="1:19" ht="15">
      <c r="A308" s="6">
        <v>305</v>
      </c>
      <c r="B308" s="38" t="s">
        <v>91</v>
      </c>
      <c r="C308" s="6">
        <v>37</v>
      </c>
      <c r="D308" s="38"/>
      <c r="E308" s="54"/>
      <c r="F308" s="54"/>
      <c r="G308" s="59">
        <v>2009.3</v>
      </c>
      <c r="H308" s="59">
        <v>1722.34</v>
      </c>
      <c r="I308" s="54"/>
      <c r="J308" s="60">
        <v>308.5</v>
      </c>
      <c r="K308" s="55">
        <v>238.08</v>
      </c>
      <c r="L308" s="60">
        <v>202.24100031534337</v>
      </c>
      <c r="M308" s="57">
        <f>(L308+K308+J308)/3</f>
        <v>249.60700010511445</v>
      </c>
      <c r="N308" s="58">
        <f t="shared" si="39"/>
        <v>144.92318595928472</v>
      </c>
      <c r="O308" s="60">
        <v>119.4</v>
      </c>
      <c r="P308" s="55">
        <v>119.12</v>
      </c>
      <c r="Q308" s="60">
        <v>115.28899968465663</v>
      </c>
      <c r="R308" s="57">
        <f t="shared" si="37"/>
        <v>117.93633322821888</v>
      </c>
      <c r="S308" s="58">
        <f t="shared" si="36"/>
        <v>68.47447845850348</v>
      </c>
    </row>
    <row r="309" spans="1:19" ht="15">
      <c r="A309" s="6">
        <v>306</v>
      </c>
      <c r="B309" s="38" t="s">
        <v>91</v>
      </c>
      <c r="C309" s="6">
        <v>39</v>
      </c>
      <c r="D309" s="38"/>
      <c r="E309" s="54"/>
      <c r="F309" s="54"/>
      <c r="G309" s="67">
        <v>4806.4</v>
      </c>
      <c r="H309" s="55">
        <v>4806.4</v>
      </c>
      <c r="I309" s="86"/>
      <c r="J309" s="55">
        <v>640.05</v>
      </c>
      <c r="K309" s="55">
        <v>613.44</v>
      </c>
      <c r="L309" s="55">
        <v>550.94</v>
      </c>
      <c r="M309" s="57">
        <f>(L309+K309+J309)/3</f>
        <v>601.4766666666667</v>
      </c>
      <c r="N309" s="58">
        <f t="shared" si="39"/>
        <v>125.14078450954285</v>
      </c>
      <c r="O309" s="55">
        <v>262.65</v>
      </c>
      <c r="P309" s="55">
        <v>268.06</v>
      </c>
      <c r="Q309" s="55">
        <v>256.86</v>
      </c>
      <c r="R309" s="57">
        <f t="shared" si="37"/>
        <v>262.52333333333337</v>
      </c>
      <c r="S309" s="58">
        <f t="shared" si="36"/>
        <v>54.619535064358644</v>
      </c>
    </row>
    <row r="310" spans="1:19" ht="15">
      <c r="A310" s="2">
        <v>307</v>
      </c>
      <c r="B310" s="38" t="s">
        <v>91</v>
      </c>
      <c r="C310" s="2">
        <v>57</v>
      </c>
      <c r="D310" s="38"/>
      <c r="E310" s="74"/>
      <c r="F310" s="74"/>
      <c r="G310" s="81">
        <v>4352.3</v>
      </c>
      <c r="H310" s="82">
        <v>4352.3</v>
      </c>
      <c r="I310" s="94"/>
      <c r="J310" s="83">
        <v>322.72</v>
      </c>
      <c r="K310" s="82">
        <v>326</v>
      </c>
      <c r="L310" s="83">
        <v>290.033</v>
      </c>
      <c r="M310" s="84">
        <f>(L310+K310+J310)/3</f>
        <v>312.91766666666666</v>
      </c>
      <c r="N310" s="58">
        <f t="shared" si="39"/>
        <v>71.89708123674073</v>
      </c>
      <c r="O310" s="83">
        <v>88.24</v>
      </c>
      <c r="P310" s="82">
        <v>0</v>
      </c>
      <c r="Q310" s="83">
        <v>0</v>
      </c>
      <c r="R310" s="84">
        <f>O310+P310+Q310</f>
        <v>88.24</v>
      </c>
      <c r="S310" s="58">
        <f t="shared" si="36"/>
        <v>20.27433770650001</v>
      </c>
    </row>
    <row r="311" spans="1:19" ht="15">
      <c r="A311" s="6">
        <v>308</v>
      </c>
      <c r="B311" s="38" t="s">
        <v>23</v>
      </c>
      <c r="C311" s="6" t="s">
        <v>24</v>
      </c>
      <c r="D311" s="38" t="s">
        <v>8</v>
      </c>
      <c r="E311" s="54">
        <v>40</v>
      </c>
      <c r="F311" s="54"/>
      <c r="G311" s="59">
        <v>689.6</v>
      </c>
      <c r="H311" s="59">
        <v>689.6</v>
      </c>
      <c r="I311" s="86">
        <v>65</v>
      </c>
      <c r="J311" s="60">
        <v>144.9</v>
      </c>
      <c r="K311" s="55">
        <v>124.41</v>
      </c>
      <c r="L311" s="60">
        <v>123.78</v>
      </c>
      <c r="M311" s="57">
        <f t="shared" si="38"/>
        <v>131.03</v>
      </c>
      <c r="N311" s="58">
        <f t="shared" si="39"/>
        <v>190.00870069605568</v>
      </c>
      <c r="O311" s="60">
        <v>0</v>
      </c>
      <c r="P311" s="55">
        <v>0</v>
      </c>
      <c r="Q311" s="60">
        <v>0</v>
      </c>
      <c r="R311" s="57">
        <f aca="true" t="shared" si="40" ref="R311:R367">(O311+P311+Q311)/3</f>
        <v>0</v>
      </c>
      <c r="S311" s="58">
        <f t="shared" si="36"/>
        <v>0</v>
      </c>
    </row>
    <row r="312" spans="1:19" ht="15">
      <c r="A312" s="6">
        <v>309</v>
      </c>
      <c r="B312" s="38" t="s">
        <v>23</v>
      </c>
      <c r="C312" s="6" t="s">
        <v>25</v>
      </c>
      <c r="D312" s="38" t="s">
        <v>8</v>
      </c>
      <c r="E312" s="54">
        <v>59</v>
      </c>
      <c r="F312" s="54"/>
      <c r="G312" s="59">
        <v>950.7</v>
      </c>
      <c r="H312" s="59">
        <v>950.7</v>
      </c>
      <c r="I312" s="86">
        <v>88</v>
      </c>
      <c r="J312" s="60">
        <v>189.07</v>
      </c>
      <c r="K312" s="55">
        <v>166.67</v>
      </c>
      <c r="L312" s="60">
        <v>154.73</v>
      </c>
      <c r="M312" s="57">
        <f t="shared" si="38"/>
        <v>170.15666666666667</v>
      </c>
      <c r="N312" s="58">
        <f t="shared" si="39"/>
        <v>178.98040040671785</v>
      </c>
      <c r="O312" s="60">
        <v>0</v>
      </c>
      <c r="P312" s="55">
        <v>0</v>
      </c>
      <c r="Q312" s="60">
        <v>0</v>
      </c>
      <c r="R312" s="57">
        <f t="shared" si="40"/>
        <v>0</v>
      </c>
      <c r="S312" s="58">
        <f t="shared" si="36"/>
        <v>0</v>
      </c>
    </row>
    <row r="313" spans="1:19" ht="15">
      <c r="A313" s="6">
        <v>310</v>
      </c>
      <c r="B313" s="38" t="s">
        <v>23</v>
      </c>
      <c r="C313" s="6" t="s">
        <v>26</v>
      </c>
      <c r="D313" s="38" t="s">
        <v>8</v>
      </c>
      <c r="E313" s="54">
        <v>53</v>
      </c>
      <c r="F313" s="54"/>
      <c r="G313" s="59">
        <v>966.2</v>
      </c>
      <c r="H313" s="59">
        <v>966.2</v>
      </c>
      <c r="I313" s="86">
        <v>90</v>
      </c>
      <c r="J313" s="60">
        <v>177.48</v>
      </c>
      <c r="K313" s="55">
        <v>167.87</v>
      </c>
      <c r="L313" s="60">
        <v>143.9</v>
      </c>
      <c r="M313" s="57">
        <f t="shared" si="38"/>
        <v>163.08333333333334</v>
      </c>
      <c r="N313" s="58">
        <f t="shared" si="39"/>
        <v>168.78838059752985</v>
      </c>
      <c r="O313" s="60">
        <v>0</v>
      </c>
      <c r="P313" s="55">
        <v>0</v>
      </c>
      <c r="Q313" s="60">
        <v>0</v>
      </c>
      <c r="R313" s="57">
        <f t="shared" si="40"/>
        <v>0</v>
      </c>
      <c r="S313" s="58">
        <f t="shared" si="36"/>
        <v>0</v>
      </c>
    </row>
    <row r="314" spans="1:19" ht="15">
      <c r="A314" s="6">
        <v>311</v>
      </c>
      <c r="B314" s="38" t="s">
        <v>23</v>
      </c>
      <c r="C314" s="6">
        <v>6</v>
      </c>
      <c r="D314" s="38" t="s">
        <v>8</v>
      </c>
      <c r="E314" s="54">
        <v>42</v>
      </c>
      <c r="F314" s="54"/>
      <c r="G314" s="59">
        <v>2143.2</v>
      </c>
      <c r="H314" s="59">
        <v>1953.45</v>
      </c>
      <c r="I314" s="86">
        <v>91</v>
      </c>
      <c r="J314" s="60">
        <v>302.34</v>
      </c>
      <c r="K314" s="55">
        <v>298.37</v>
      </c>
      <c r="L314" s="60">
        <v>248.29919384019226</v>
      </c>
      <c r="M314" s="57">
        <f t="shared" si="38"/>
        <v>283.0030646133974</v>
      </c>
      <c r="N314" s="58">
        <f t="shared" si="39"/>
        <v>144.8734621379597</v>
      </c>
      <c r="O314" s="60">
        <v>132.9</v>
      </c>
      <c r="P314" s="55">
        <v>110.28</v>
      </c>
      <c r="Q314" s="60">
        <v>122.38080615980773</v>
      </c>
      <c r="R314" s="57">
        <f t="shared" si="40"/>
        <v>121.85360205326924</v>
      </c>
      <c r="S314" s="58">
        <f t="shared" si="36"/>
        <v>62.37866444151078</v>
      </c>
    </row>
    <row r="315" spans="1:19" ht="15">
      <c r="A315" s="6">
        <v>312</v>
      </c>
      <c r="B315" s="38" t="s">
        <v>23</v>
      </c>
      <c r="C315" s="6">
        <v>13</v>
      </c>
      <c r="D315" s="38" t="s">
        <v>38</v>
      </c>
      <c r="E315" s="54"/>
      <c r="F315" s="54"/>
      <c r="G315" s="64">
        <v>1804</v>
      </c>
      <c r="H315" s="64">
        <v>1804</v>
      </c>
      <c r="I315" s="86"/>
      <c r="J315" s="60">
        <v>133.84</v>
      </c>
      <c r="K315" s="55">
        <v>159.52</v>
      </c>
      <c r="L315" s="60">
        <v>241.8825</v>
      </c>
      <c r="M315" s="57">
        <f t="shared" si="38"/>
        <v>178.4141666666667</v>
      </c>
      <c r="N315" s="58">
        <f t="shared" si="39"/>
        <v>98.89920546932743</v>
      </c>
      <c r="O315" s="60">
        <v>116.76</v>
      </c>
      <c r="P315" s="55">
        <v>58.38</v>
      </c>
      <c r="Q315" s="60">
        <v>15.917820000000182</v>
      </c>
      <c r="R315" s="57">
        <f t="shared" si="40"/>
        <v>63.685940000000066</v>
      </c>
      <c r="S315" s="58">
        <f t="shared" si="36"/>
        <v>35.3026274944568</v>
      </c>
    </row>
    <row r="316" spans="1:19" ht="15">
      <c r="A316" s="6">
        <v>313</v>
      </c>
      <c r="B316" s="38" t="s">
        <v>94</v>
      </c>
      <c r="C316" s="6">
        <v>1</v>
      </c>
      <c r="D316" s="38" t="s">
        <v>38</v>
      </c>
      <c r="E316" s="54"/>
      <c r="F316" s="54"/>
      <c r="G316" s="54"/>
      <c r="H316" s="54">
        <v>1872.46</v>
      </c>
      <c r="I316" s="86"/>
      <c r="J316" s="55">
        <v>287.32</v>
      </c>
      <c r="K316" s="56">
        <v>267.37</v>
      </c>
      <c r="L316" s="55">
        <v>241</v>
      </c>
      <c r="M316" s="57">
        <f aca="true" t="shared" si="41" ref="M316:M350">(L316+K316+J316)/3</f>
        <v>265.23</v>
      </c>
      <c r="N316" s="58">
        <f t="shared" si="39"/>
        <v>141.64788566911977</v>
      </c>
      <c r="O316" s="55">
        <v>112.57</v>
      </c>
      <c r="P316" s="56">
        <v>107.51</v>
      </c>
      <c r="Q316" s="55">
        <v>108.6</v>
      </c>
      <c r="R316" s="57">
        <f t="shared" si="40"/>
        <v>109.55999999999999</v>
      </c>
      <c r="S316" s="58">
        <f t="shared" si="36"/>
        <v>58.51126325796011</v>
      </c>
    </row>
    <row r="317" spans="1:19" ht="15">
      <c r="A317" s="6">
        <v>314</v>
      </c>
      <c r="B317" s="38" t="s">
        <v>94</v>
      </c>
      <c r="C317" s="6">
        <v>2</v>
      </c>
      <c r="D317" s="38" t="s">
        <v>38</v>
      </c>
      <c r="E317" s="54"/>
      <c r="F317" s="54">
        <v>1966</v>
      </c>
      <c r="G317" s="54">
        <v>2791.6</v>
      </c>
      <c r="H317" s="54">
        <v>2121.36</v>
      </c>
      <c r="I317" s="86"/>
      <c r="J317" s="55">
        <v>320.48</v>
      </c>
      <c r="K317" s="56">
        <v>298.21</v>
      </c>
      <c r="L317" s="55">
        <v>254.27</v>
      </c>
      <c r="M317" s="57">
        <f t="shared" si="41"/>
        <v>290.9866666666667</v>
      </c>
      <c r="N317" s="58">
        <f aca="true" t="shared" si="42" ref="N317:N348">M317/H317*1000</f>
        <v>137.16986587220777</v>
      </c>
      <c r="O317" s="55">
        <v>110.98</v>
      </c>
      <c r="P317" s="56">
        <v>105.65</v>
      </c>
      <c r="Q317" s="55">
        <v>98.45</v>
      </c>
      <c r="R317" s="57">
        <f t="shared" si="40"/>
        <v>105.02666666666666</v>
      </c>
      <c r="S317" s="58">
        <f t="shared" si="36"/>
        <v>49.509119935638765</v>
      </c>
    </row>
    <row r="318" spans="1:19" ht="15">
      <c r="A318" s="6">
        <v>315</v>
      </c>
      <c r="B318" s="38" t="s">
        <v>94</v>
      </c>
      <c r="C318" s="6">
        <v>3</v>
      </c>
      <c r="D318" s="38" t="s">
        <v>38</v>
      </c>
      <c r="E318" s="54"/>
      <c r="F318" s="54"/>
      <c r="G318" s="59">
        <f>99.3+2353+55.6</f>
        <v>2507.9</v>
      </c>
      <c r="H318" s="54">
        <f>99.3+2276.11+77.84</f>
        <v>2453.2500000000005</v>
      </c>
      <c r="I318" s="86"/>
      <c r="J318" s="55">
        <f>15.74+12.34+360.8</f>
        <v>388.88</v>
      </c>
      <c r="K318" s="56">
        <f>14.6+334.86+11.45</f>
        <v>360.91</v>
      </c>
      <c r="L318" s="55">
        <v>354.91</v>
      </c>
      <c r="M318" s="57">
        <f t="shared" si="41"/>
        <v>368.23333333333335</v>
      </c>
      <c r="N318" s="58">
        <f t="shared" si="42"/>
        <v>150.10020720812525</v>
      </c>
      <c r="O318" s="55">
        <f>1.06+0.48+128.09</f>
        <v>129.63</v>
      </c>
      <c r="P318" s="56">
        <f>1.09+118.14+0.32</f>
        <v>119.55</v>
      </c>
      <c r="Q318" s="55">
        <v>113.56</v>
      </c>
      <c r="R318" s="57">
        <f t="shared" si="40"/>
        <v>120.91333333333334</v>
      </c>
      <c r="S318" s="58">
        <f t="shared" si="36"/>
        <v>49.28700023777981</v>
      </c>
    </row>
    <row r="319" spans="1:19" ht="15">
      <c r="A319" s="6">
        <v>316</v>
      </c>
      <c r="B319" s="38" t="s">
        <v>94</v>
      </c>
      <c r="C319" s="6">
        <v>4</v>
      </c>
      <c r="D319" s="38" t="s">
        <v>38</v>
      </c>
      <c r="E319" s="54"/>
      <c r="F319" s="54">
        <v>1965</v>
      </c>
      <c r="G319" s="54">
        <v>2770.2</v>
      </c>
      <c r="H319" s="54">
        <v>2046.67</v>
      </c>
      <c r="I319" s="86"/>
      <c r="J319" s="55">
        <v>267.83</v>
      </c>
      <c r="K319" s="56">
        <v>255.19</v>
      </c>
      <c r="L319" s="55">
        <v>255.77</v>
      </c>
      <c r="M319" s="57">
        <f t="shared" si="41"/>
        <v>259.59666666666664</v>
      </c>
      <c r="N319" s="58">
        <f t="shared" si="42"/>
        <v>126.83855563753151</v>
      </c>
      <c r="O319" s="55">
        <v>97.59</v>
      </c>
      <c r="P319" s="56">
        <v>91.06</v>
      </c>
      <c r="Q319" s="55">
        <v>88.96</v>
      </c>
      <c r="R319" s="57">
        <f t="shared" si="40"/>
        <v>92.53666666666668</v>
      </c>
      <c r="S319" s="58">
        <f t="shared" si="36"/>
        <v>45.2132814115938</v>
      </c>
    </row>
    <row r="320" spans="1:19" ht="15">
      <c r="A320" s="6">
        <v>317</v>
      </c>
      <c r="B320" s="38" t="s">
        <v>94</v>
      </c>
      <c r="C320" s="6">
        <v>5</v>
      </c>
      <c r="D320" s="38" t="s">
        <v>38</v>
      </c>
      <c r="E320" s="54"/>
      <c r="F320" s="54">
        <v>1969</v>
      </c>
      <c r="G320" s="54">
        <v>2854.5</v>
      </c>
      <c r="H320" s="54">
        <v>1929.44</v>
      </c>
      <c r="I320" s="86"/>
      <c r="J320" s="55">
        <v>282.31</v>
      </c>
      <c r="K320" s="56">
        <v>261.68</v>
      </c>
      <c r="L320" s="55">
        <v>238.24</v>
      </c>
      <c r="M320" s="57">
        <f t="shared" si="41"/>
        <v>260.74333333333334</v>
      </c>
      <c r="N320" s="58">
        <f t="shared" si="42"/>
        <v>135.1393841390939</v>
      </c>
      <c r="O320" s="55">
        <v>92.62</v>
      </c>
      <c r="P320" s="56">
        <v>87.32</v>
      </c>
      <c r="Q320" s="55">
        <v>96.38</v>
      </c>
      <c r="R320" s="57">
        <f t="shared" si="40"/>
        <v>92.10666666666667</v>
      </c>
      <c r="S320" s="58">
        <f t="shared" si="36"/>
        <v>47.737512784365755</v>
      </c>
    </row>
    <row r="321" spans="1:19" ht="15">
      <c r="A321" s="6">
        <v>318</v>
      </c>
      <c r="B321" s="38" t="s">
        <v>94</v>
      </c>
      <c r="C321" s="6">
        <v>15</v>
      </c>
      <c r="D321" s="38" t="s">
        <v>38</v>
      </c>
      <c r="E321" s="54"/>
      <c r="F321" s="54">
        <v>1971</v>
      </c>
      <c r="G321" s="54">
        <v>5677.3</v>
      </c>
      <c r="H321" s="54">
        <f>204.82+3924.58</f>
        <v>4129.4</v>
      </c>
      <c r="I321" s="86"/>
      <c r="J321" s="55">
        <f>34.82+667.03</f>
        <v>701.85</v>
      </c>
      <c r="K321" s="56">
        <f>30.25+579.35</f>
        <v>609.6</v>
      </c>
      <c r="L321" s="55">
        <v>490.98</v>
      </c>
      <c r="M321" s="57">
        <f t="shared" si="41"/>
        <v>600.81</v>
      </c>
      <c r="N321" s="58">
        <f t="shared" si="42"/>
        <v>145.4957136630019</v>
      </c>
      <c r="O321" s="55">
        <f>2.11+268.22</f>
        <v>270.33000000000004</v>
      </c>
      <c r="P321" s="56">
        <f>233.26+1.543</f>
        <v>234.803</v>
      </c>
      <c r="Q321" s="55">
        <v>241.71</v>
      </c>
      <c r="R321" s="57">
        <f t="shared" si="40"/>
        <v>248.9476666666667</v>
      </c>
      <c r="S321" s="58">
        <f t="shared" si="36"/>
        <v>60.286643741625106</v>
      </c>
    </row>
    <row r="322" spans="1:19" ht="15">
      <c r="A322" s="6">
        <v>319</v>
      </c>
      <c r="B322" s="38" t="s">
        <v>94</v>
      </c>
      <c r="C322" s="6" t="s">
        <v>95</v>
      </c>
      <c r="D322" s="38" t="s">
        <v>38</v>
      </c>
      <c r="E322" s="54">
        <v>59</v>
      </c>
      <c r="F322" s="54">
        <v>1970</v>
      </c>
      <c r="G322" s="59">
        <v>3914.5</v>
      </c>
      <c r="H322" s="54">
        <f>89.32+2645.93</f>
        <v>2735.25</v>
      </c>
      <c r="I322" s="86"/>
      <c r="J322" s="55">
        <f>14.41+426.87</f>
        <v>441.28000000000003</v>
      </c>
      <c r="K322" s="56">
        <f>15.67+463.72</f>
        <v>479.39000000000004</v>
      </c>
      <c r="L322" s="55">
        <v>382.57</v>
      </c>
      <c r="M322" s="57">
        <f t="shared" si="41"/>
        <v>434.41333333333336</v>
      </c>
      <c r="N322" s="58">
        <f t="shared" si="42"/>
        <v>158.82033939615513</v>
      </c>
      <c r="O322" s="55">
        <f>1.33+140.79</f>
        <v>142.12</v>
      </c>
      <c r="P322" s="56">
        <f>1.01+127.3</f>
        <v>128.31</v>
      </c>
      <c r="Q322" s="55">
        <v>130.23</v>
      </c>
      <c r="R322" s="57">
        <f t="shared" si="40"/>
        <v>133.5533333333333</v>
      </c>
      <c r="S322" s="58">
        <f t="shared" si="36"/>
        <v>48.82673734881028</v>
      </c>
    </row>
    <row r="323" spans="1:19" ht="15">
      <c r="A323" s="6">
        <v>320</v>
      </c>
      <c r="B323" s="38" t="s">
        <v>94</v>
      </c>
      <c r="C323" s="6">
        <v>7</v>
      </c>
      <c r="D323" s="38"/>
      <c r="E323" s="54"/>
      <c r="F323" s="54"/>
      <c r="G323" s="64">
        <v>3394.14</v>
      </c>
      <c r="H323" s="64">
        <v>3394.14</v>
      </c>
      <c r="I323" s="86"/>
      <c r="J323" s="60">
        <v>396.51</v>
      </c>
      <c r="K323" s="55">
        <v>423.46</v>
      </c>
      <c r="L323" s="60">
        <v>388.6184</v>
      </c>
      <c r="M323" s="57">
        <f>(L323+K323+J323)/3</f>
        <v>402.86280000000005</v>
      </c>
      <c r="N323" s="58">
        <f t="shared" si="42"/>
        <v>118.69363078718027</v>
      </c>
      <c r="O323" s="60">
        <v>158.82</v>
      </c>
      <c r="P323" s="55">
        <v>138.34</v>
      </c>
      <c r="Q323" s="60">
        <v>166.50382000000002</v>
      </c>
      <c r="R323" s="57">
        <f t="shared" si="40"/>
        <v>154.55460666666667</v>
      </c>
      <c r="S323" s="58">
        <f t="shared" si="36"/>
        <v>45.53571940658508</v>
      </c>
    </row>
    <row r="324" spans="1:19" ht="15">
      <c r="A324" s="6">
        <v>321</v>
      </c>
      <c r="B324" s="38" t="s">
        <v>94</v>
      </c>
      <c r="C324" s="6">
        <v>11</v>
      </c>
      <c r="D324" s="38"/>
      <c r="E324" s="54"/>
      <c r="F324" s="54"/>
      <c r="G324" s="67">
        <v>2746</v>
      </c>
      <c r="H324" s="55">
        <v>2746</v>
      </c>
      <c r="I324" s="86"/>
      <c r="J324" s="60">
        <v>230.52</v>
      </c>
      <c r="K324" s="55">
        <v>196.23</v>
      </c>
      <c r="L324" s="60">
        <v>91.91850000000001</v>
      </c>
      <c r="M324" s="57">
        <f>(L324+K324+J324)/3</f>
        <v>172.8895</v>
      </c>
      <c r="N324" s="58">
        <f t="shared" si="42"/>
        <v>62.960487982520036</v>
      </c>
      <c r="O324" s="60">
        <v>195.9</v>
      </c>
      <c r="P324" s="55">
        <v>195.62</v>
      </c>
      <c r="Q324" s="60">
        <v>197.6115</v>
      </c>
      <c r="R324" s="57">
        <f t="shared" si="40"/>
        <v>196.37716666666665</v>
      </c>
      <c r="S324" s="58">
        <f aca="true" t="shared" si="43" ref="S324:S367">R324/H324*1000</f>
        <v>71.51389900461277</v>
      </c>
    </row>
    <row r="325" spans="1:19" ht="15">
      <c r="A325" s="6">
        <v>322</v>
      </c>
      <c r="B325" s="38" t="s">
        <v>96</v>
      </c>
      <c r="C325" s="6">
        <v>5</v>
      </c>
      <c r="D325" s="38" t="s">
        <v>38</v>
      </c>
      <c r="E325" s="54">
        <v>12</v>
      </c>
      <c r="F325" s="54"/>
      <c r="G325" s="59">
        <f>4.81+527.5</f>
        <v>532.31</v>
      </c>
      <c r="H325" s="54">
        <f>6.73+432.3</f>
        <v>439.03000000000003</v>
      </c>
      <c r="I325" s="86"/>
      <c r="J325" s="55">
        <f>1.14+72.58</f>
        <v>73.72</v>
      </c>
      <c r="K325" s="56">
        <f>1.03+65.99</f>
        <v>67.02</v>
      </c>
      <c r="L325" s="55">
        <v>63.16</v>
      </c>
      <c r="M325" s="57">
        <f t="shared" si="41"/>
        <v>67.96666666666667</v>
      </c>
      <c r="N325" s="58">
        <f t="shared" si="42"/>
        <v>154.81098482260134</v>
      </c>
      <c r="O325" s="55">
        <f>12.97+0.87+23.45</f>
        <v>37.29</v>
      </c>
      <c r="P325" s="56">
        <f>16.13+23.13</f>
        <v>39.26</v>
      </c>
      <c r="Q325" s="55">
        <v>29.74</v>
      </c>
      <c r="R325" s="57">
        <f t="shared" si="40"/>
        <v>35.43</v>
      </c>
      <c r="S325" s="58">
        <f t="shared" si="43"/>
        <v>80.70063549187982</v>
      </c>
    </row>
    <row r="326" spans="1:19" ht="15">
      <c r="A326" s="6">
        <v>323</v>
      </c>
      <c r="B326" s="38" t="s">
        <v>96</v>
      </c>
      <c r="C326" s="6">
        <v>7</v>
      </c>
      <c r="D326" s="38" t="s">
        <v>38</v>
      </c>
      <c r="E326" s="54">
        <v>12</v>
      </c>
      <c r="F326" s="54"/>
      <c r="G326" s="59">
        <f>103.2+55.5+886.6</f>
        <v>1045.3</v>
      </c>
      <c r="H326" s="54">
        <f>119.68+826.6</f>
        <v>946.28</v>
      </c>
      <c r="I326" s="86"/>
      <c r="J326" s="55">
        <f>18.07+7.57+124.8</f>
        <v>150.44</v>
      </c>
      <c r="K326" s="56">
        <f>18.99+7.44+131.12</f>
        <v>157.55</v>
      </c>
      <c r="L326" s="55">
        <v>135.09</v>
      </c>
      <c r="M326" s="57">
        <f t="shared" si="41"/>
        <v>147.69333333333333</v>
      </c>
      <c r="N326" s="58">
        <f t="shared" si="42"/>
        <v>156.07783460850206</v>
      </c>
      <c r="O326" s="55">
        <f>0.49+11.65+0.92+37.27</f>
        <v>50.330000000000005</v>
      </c>
      <c r="P326" s="56">
        <f>0.12+9.62+0.59+29.54</f>
        <v>39.87</v>
      </c>
      <c r="Q326" s="55">
        <v>37.67</v>
      </c>
      <c r="R326" s="57">
        <f t="shared" si="40"/>
        <v>42.623333333333335</v>
      </c>
      <c r="S326" s="58">
        <f t="shared" si="43"/>
        <v>45.04304575108143</v>
      </c>
    </row>
    <row r="327" spans="1:19" ht="15">
      <c r="A327" s="6">
        <v>324</v>
      </c>
      <c r="B327" s="38" t="s">
        <v>96</v>
      </c>
      <c r="C327" s="6">
        <v>24</v>
      </c>
      <c r="D327" s="38" t="s">
        <v>38</v>
      </c>
      <c r="E327" s="54"/>
      <c r="F327" s="54"/>
      <c r="G327" s="59">
        <v>691</v>
      </c>
      <c r="H327" s="54">
        <v>611</v>
      </c>
      <c r="I327" s="86"/>
      <c r="J327" s="55">
        <v>104.14</v>
      </c>
      <c r="K327" s="56">
        <v>97.2</v>
      </c>
      <c r="L327" s="55">
        <v>82.02</v>
      </c>
      <c r="M327" s="57">
        <f t="shared" si="41"/>
        <v>94.45333333333333</v>
      </c>
      <c r="N327" s="58">
        <f t="shared" si="42"/>
        <v>154.58810692853245</v>
      </c>
      <c r="O327" s="55">
        <f>30.96+8.84</f>
        <v>39.8</v>
      </c>
      <c r="P327" s="56">
        <v>32</v>
      </c>
      <c r="Q327" s="55">
        <v>28.48</v>
      </c>
      <c r="R327" s="57">
        <f t="shared" si="40"/>
        <v>33.42666666666667</v>
      </c>
      <c r="S327" s="58">
        <f t="shared" si="43"/>
        <v>54.70812875068195</v>
      </c>
    </row>
    <row r="328" spans="1:19" ht="15">
      <c r="A328" s="6">
        <v>325</v>
      </c>
      <c r="B328" s="38" t="s">
        <v>96</v>
      </c>
      <c r="C328" s="6">
        <v>26</v>
      </c>
      <c r="D328" s="38" t="s">
        <v>38</v>
      </c>
      <c r="E328" s="54">
        <v>12</v>
      </c>
      <c r="F328" s="54"/>
      <c r="G328" s="59">
        <v>688.4</v>
      </c>
      <c r="H328" s="54">
        <v>660.36</v>
      </c>
      <c r="I328" s="86"/>
      <c r="J328" s="55">
        <v>127.76</v>
      </c>
      <c r="K328" s="56">
        <v>124.04</v>
      </c>
      <c r="L328" s="55">
        <v>113.22</v>
      </c>
      <c r="M328" s="57">
        <f t="shared" si="41"/>
        <v>121.67333333333333</v>
      </c>
      <c r="N328" s="58">
        <f t="shared" si="42"/>
        <v>184.25303369879057</v>
      </c>
      <c r="O328" s="55">
        <v>40.24</v>
      </c>
      <c r="P328" s="56">
        <v>45.06</v>
      </c>
      <c r="Q328" s="55">
        <v>42.98</v>
      </c>
      <c r="R328" s="57">
        <f t="shared" si="40"/>
        <v>42.76</v>
      </c>
      <c r="S328" s="58">
        <f t="shared" si="43"/>
        <v>64.7525592101278</v>
      </c>
    </row>
    <row r="329" spans="1:19" ht="15">
      <c r="A329" s="6">
        <v>326</v>
      </c>
      <c r="B329" s="38" t="s">
        <v>96</v>
      </c>
      <c r="C329" s="6">
        <v>28</v>
      </c>
      <c r="D329" s="38" t="s">
        <v>38</v>
      </c>
      <c r="E329" s="54">
        <v>12</v>
      </c>
      <c r="F329" s="54"/>
      <c r="G329" s="59">
        <v>527.3</v>
      </c>
      <c r="H329" s="54">
        <v>508.53</v>
      </c>
      <c r="I329" s="86"/>
      <c r="J329" s="55">
        <v>83.95</v>
      </c>
      <c r="K329" s="56">
        <v>82.28</v>
      </c>
      <c r="L329" s="55">
        <v>72.42</v>
      </c>
      <c r="M329" s="57">
        <f t="shared" si="41"/>
        <v>79.55</v>
      </c>
      <c r="N329" s="58">
        <f t="shared" si="42"/>
        <v>156.43128232356008</v>
      </c>
      <c r="O329" s="55">
        <v>29.3</v>
      </c>
      <c r="P329" s="56">
        <v>33.72</v>
      </c>
      <c r="Q329" s="55">
        <v>31.38</v>
      </c>
      <c r="R329" s="57">
        <f t="shared" si="40"/>
        <v>31.466666666666665</v>
      </c>
      <c r="S329" s="58">
        <f t="shared" si="43"/>
        <v>61.87769977516895</v>
      </c>
    </row>
    <row r="330" spans="1:19" ht="15">
      <c r="A330" s="6">
        <v>327</v>
      </c>
      <c r="B330" s="38" t="s">
        <v>96</v>
      </c>
      <c r="C330" s="6">
        <v>35</v>
      </c>
      <c r="D330" s="38" t="s">
        <v>38</v>
      </c>
      <c r="E330" s="54"/>
      <c r="F330" s="54">
        <v>1972</v>
      </c>
      <c r="G330" s="59">
        <v>3277</v>
      </c>
      <c r="H330" s="54">
        <v>3214.6</v>
      </c>
      <c r="I330" s="86"/>
      <c r="J330" s="55">
        <v>496.01</v>
      </c>
      <c r="K330" s="56">
        <v>444.37</v>
      </c>
      <c r="L330" s="55">
        <v>410.71</v>
      </c>
      <c r="M330" s="57">
        <f t="shared" si="41"/>
        <v>450.3633333333333</v>
      </c>
      <c r="N330" s="58">
        <f t="shared" si="42"/>
        <v>140.0993384350567</v>
      </c>
      <c r="O330" s="55">
        <v>179.15</v>
      </c>
      <c r="P330" s="56">
        <v>182.39</v>
      </c>
      <c r="Q330" s="55">
        <v>169.59</v>
      </c>
      <c r="R330" s="57">
        <f t="shared" si="40"/>
        <v>177.04333333333332</v>
      </c>
      <c r="S330" s="58">
        <f t="shared" si="43"/>
        <v>55.07476306020448</v>
      </c>
    </row>
    <row r="331" spans="1:19" ht="15">
      <c r="A331" s="6">
        <v>328</v>
      </c>
      <c r="B331" s="38" t="s">
        <v>28</v>
      </c>
      <c r="C331" s="6">
        <v>21</v>
      </c>
      <c r="D331" s="38" t="s">
        <v>8</v>
      </c>
      <c r="E331" s="54">
        <v>55</v>
      </c>
      <c r="F331" s="54"/>
      <c r="G331" s="59">
        <v>2101.02</v>
      </c>
      <c r="H331" s="59">
        <v>1918.14</v>
      </c>
      <c r="I331" s="86">
        <v>103</v>
      </c>
      <c r="J331" s="55">
        <v>258.76</v>
      </c>
      <c r="K331" s="55">
        <v>243.66</v>
      </c>
      <c r="L331" s="55">
        <v>242.6</v>
      </c>
      <c r="M331" s="57">
        <f t="shared" si="41"/>
        <v>248.34</v>
      </c>
      <c r="N331" s="58">
        <f t="shared" si="42"/>
        <v>129.46917326159715</v>
      </c>
      <c r="O331" s="60">
        <v>0</v>
      </c>
      <c r="P331" s="55">
        <v>0</v>
      </c>
      <c r="Q331" s="60">
        <v>0</v>
      </c>
      <c r="R331" s="57">
        <f t="shared" si="40"/>
        <v>0</v>
      </c>
      <c r="S331" s="58">
        <f t="shared" si="43"/>
        <v>0</v>
      </c>
    </row>
    <row r="332" spans="1:19" s="4" customFormat="1" ht="15">
      <c r="A332" s="2">
        <v>329</v>
      </c>
      <c r="B332" s="38" t="s">
        <v>27</v>
      </c>
      <c r="C332" s="2">
        <v>88</v>
      </c>
      <c r="D332" s="38"/>
      <c r="E332" s="74"/>
      <c r="F332" s="74"/>
      <c r="G332" s="85">
        <v>3000</v>
      </c>
      <c r="H332" s="77">
        <v>3000</v>
      </c>
      <c r="I332" s="94"/>
      <c r="J332" s="77">
        <v>0</v>
      </c>
      <c r="K332" s="77">
        <v>107.41</v>
      </c>
      <c r="L332" s="76">
        <v>1.4801</v>
      </c>
      <c r="M332" s="78">
        <f>(L332+K332+J332)/3</f>
        <v>36.296699999999994</v>
      </c>
      <c r="N332" s="79">
        <f t="shared" si="42"/>
        <v>12.098899999999997</v>
      </c>
      <c r="O332" s="77">
        <v>0</v>
      </c>
      <c r="P332" s="77">
        <v>83.89</v>
      </c>
      <c r="Q332" s="76">
        <v>275.7399</v>
      </c>
      <c r="R332" s="78">
        <f t="shared" si="40"/>
        <v>119.87663333333332</v>
      </c>
      <c r="S332" s="79">
        <f t="shared" si="43"/>
        <v>39.95887777777777</v>
      </c>
    </row>
    <row r="333" spans="1:19" ht="15">
      <c r="A333" s="6">
        <v>330</v>
      </c>
      <c r="B333" s="38" t="s">
        <v>27</v>
      </c>
      <c r="C333" s="6">
        <v>90</v>
      </c>
      <c r="D333" s="38" t="s">
        <v>38</v>
      </c>
      <c r="E333" s="54"/>
      <c r="F333" s="54">
        <v>1987</v>
      </c>
      <c r="G333" s="54">
        <v>5573.7</v>
      </c>
      <c r="H333" s="54">
        <f>60.7+1437.3+2009.16</f>
        <v>3507.16</v>
      </c>
      <c r="I333" s="54"/>
      <c r="J333" s="55">
        <f>7.65+208.65+247.89</f>
        <v>464.19</v>
      </c>
      <c r="K333" s="56">
        <f>7.74+181.28+256.13</f>
        <v>445.15</v>
      </c>
      <c r="L333" s="55">
        <v>387.86</v>
      </c>
      <c r="M333" s="57">
        <f t="shared" si="41"/>
        <v>432.40000000000003</v>
      </c>
      <c r="N333" s="58">
        <f t="shared" si="42"/>
        <v>123.29063971988734</v>
      </c>
      <c r="O333" s="55">
        <f>2.78+83.42+132.84</f>
        <v>219.04000000000002</v>
      </c>
      <c r="P333" s="56">
        <f>2.73+83.95+139.55</f>
        <v>226.23000000000002</v>
      </c>
      <c r="Q333" s="55">
        <v>203.18</v>
      </c>
      <c r="R333" s="57">
        <f t="shared" si="40"/>
        <v>216.15</v>
      </c>
      <c r="S333" s="58">
        <f t="shared" si="43"/>
        <v>61.63106331048484</v>
      </c>
    </row>
    <row r="334" spans="1:19" ht="15">
      <c r="A334" s="6">
        <v>331</v>
      </c>
      <c r="B334" s="38" t="s">
        <v>35</v>
      </c>
      <c r="C334" s="6">
        <v>2</v>
      </c>
      <c r="D334" s="38" t="s">
        <v>38</v>
      </c>
      <c r="E334" s="54"/>
      <c r="F334" s="54"/>
      <c r="G334" s="59">
        <f>53.4+107.7+2112</f>
        <v>2273.1</v>
      </c>
      <c r="H334" s="54">
        <f>74.76+107.7+2056.51</f>
        <v>2238.9700000000003</v>
      </c>
      <c r="I334" s="54"/>
      <c r="J334" s="55">
        <f>9.81+19.11+269.71</f>
        <v>298.63</v>
      </c>
      <c r="K334" s="56">
        <f>9.58+23.41+262.99</f>
        <v>295.98</v>
      </c>
      <c r="L334" s="55">
        <v>267.17</v>
      </c>
      <c r="M334" s="57">
        <f t="shared" si="41"/>
        <v>287.26000000000005</v>
      </c>
      <c r="N334" s="58">
        <f t="shared" si="42"/>
        <v>128.30006654845755</v>
      </c>
      <c r="O334" s="55">
        <v>84.23</v>
      </c>
      <c r="P334" s="56">
        <v>86.23</v>
      </c>
      <c r="Q334" s="55">
        <v>90.11</v>
      </c>
      <c r="R334" s="57">
        <f t="shared" si="40"/>
        <v>86.85666666666667</v>
      </c>
      <c r="S334" s="58">
        <f t="shared" si="43"/>
        <v>38.79313553404764</v>
      </c>
    </row>
    <row r="335" spans="1:19" ht="15">
      <c r="A335" s="6">
        <v>332</v>
      </c>
      <c r="B335" s="38" t="s">
        <v>35</v>
      </c>
      <c r="C335" s="6">
        <v>3</v>
      </c>
      <c r="D335" s="38" t="s">
        <v>38</v>
      </c>
      <c r="E335" s="54"/>
      <c r="F335" s="54"/>
      <c r="G335" s="59">
        <f>126.3+1710+375.4+103.5</f>
        <v>2315.2</v>
      </c>
      <c r="H335" s="54">
        <f>1688.29+525.56+144.93</f>
        <v>2358.7799999999997</v>
      </c>
      <c r="I335" s="54"/>
      <c r="J335" s="55">
        <f>6.93+216.56+69.67+18.81</f>
        <v>311.97</v>
      </c>
      <c r="K335" s="56">
        <f>8.35+197.585+62.17+17.145</f>
        <v>285.25</v>
      </c>
      <c r="L335" s="55">
        <v>256.75</v>
      </c>
      <c r="M335" s="57">
        <f t="shared" si="41"/>
        <v>284.6566666666667</v>
      </c>
      <c r="N335" s="58">
        <f t="shared" si="42"/>
        <v>120.67961686408512</v>
      </c>
      <c r="O335" s="55">
        <f>79.04</f>
        <v>79.04</v>
      </c>
      <c r="P335" s="56">
        <v>78.25</v>
      </c>
      <c r="Q335" s="55">
        <v>70.55</v>
      </c>
      <c r="R335" s="57">
        <f t="shared" si="40"/>
        <v>75.94666666666667</v>
      </c>
      <c r="S335" s="58">
        <f t="shared" si="43"/>
        <v>32.197435397394706</v>
      </c>
    </row>
    <row r="336" spans="1:19" ht="15">
      <c r="A336" s="6">
        <v>333</v>
      </c>
      <c r="B336" s="38" t="s">
        <v>35</v>
      </c>
      <c r="C336" s="6">
        <v>4</v>
      </c>
      <c r="D336" s="38" t="s">
        <v>38</v>
      </c>
      <c r="E336" s="54"/>
      <c r="F336" s="54"/>
      <c r="G336" s="59">
        <v>2148</v>
      </c>
      <c r="H336" s="54">
        <v>2091.81</v>
      </c>
      <c r="I336" s="54"/>
      <c r="J336" s="55">
        <v>248.87</v>
      </c>
      <c r="K336" s="56">
        <v>299.65</v>
      </c>
      <c r="L336" s="55">
        <v>200.18</v>
      </c>
      <c r="M336" s="57">
        <f t="shared" si="41"/>
        <v>249.5666666666667</v>
      </c>
      <c r="N336" s="58">
        <f t="shared" si="42"/>
        <v>119.30656544651124</v>
      </c>
      <c r="O336" s="55">
        <v>80.96</v>
      </c>
      <c r="P336" s="56">
        <v>84.52</v>
      </c>
      <c r="Q336" s="55">
        <v>76.15</v>
      </c>
      <c r="R336" s="57">
        <f t="shared" si="40"/>
        <v>80.54333333333334</v>
      </c>
      <c r="S336" s="58">
        <f t="shared" si="43"/>
        <v>38.50413437804262</v>
      </c>
    </row>
    <row r="337" spans="1:19" ht="15">
      <c r="A337" s="6">
        <v>334</v>
      </c>
      <c r="B337" s="38" t="s">
        <v>35</v>
      </c>
      <c r="C337" s="6">
        <v>6</v>
      </c>
      <c r="D337" s="38" t="s">
        <v>38</v>
      </c>
      <c r="E337" s="54"/>
      <c r="F337" s="54"/>
      <c r="G337" s="59">
        <v>2117</v>
      </c>
      <c r="H337" s="54">
        <v>2090.31</v>
      </c>
      <c r="I337" s="54"/>
      <c r="J337" s="55">
        <v>300.94</v>
      </c>
      <c r="K337" s="56">
        <v>268.55</v>
      </c>
      <c r="L337" s="55">
        <v>236.59</v>
      </c>
      <c r="M337" s="57">
        <f t="shared" si="41"/>
        <v>268.6933333333333</v>
      </c>
      <c r="N337" s="58">
        <f t="shared" si="42"/>
        <v>128.54233742044642</v>
      </c>
      <c r="O337" s="55">
        <v>91.44</v>
      </c>
      <c r="P337" s="56">
        <v>82.86</v>
      </c>
      <c r="Q337" s="55">
        <v>90.34</v>
      </c>
      <c r="R337" s="57">
        <f t="shared" si="40"/>
        <v>88.21333333333332</v>
      </c>
      <c r="S337" s="58">
        <f t="shared" si="43"/>
        <v>42.20107703323111</v>
      </c>
    </row>
    <row r="338" spans="1:19" ht="15">
      <c r="A338" s="6">
        <v>335</v>
      </c>
      <c r="B338" s="38" t="s">
        <v>35</v>
      </c>
      <c r="C338" s="6">
        <v>7</v>
      </c>
      <c r="D338" s="38" t="s">
        <v>38</v>
      </c>
      <c r="E338" s="54"/>
      <c r="F338" s="54"/>
      <c r="G338" s="59">
        <f>51.24+203.6+1846</f>
        <v>2100.84</v>
      </c>
      <c r="H338" s="59">
        <f>71.74+285.04+1825.59</f>
        <v>2182.37</v>
      </c>
      <c r="I338" s="54"/>
      <c r="J338" s="55">
        <f>8.72+221.02+34.61</f>
        <v>264.35</v>
      </c>
      <c r="K338" s="56">
        <f>7.98+31.73+202.37</f>
        <v>242.08</v>
      </c>
      <c r="L338" s="55">
        <v>222.51</v>
      </c>
      <c r="M338" s="57">
        <f t="shared" si="41"/>
        <v>242.98000000000002</v>
      </c>
      <c r="N338" s="58">
        <f t="shared" si="42"/>
        <v>111.33767417990535</v>
      </c>
      <c r="O338" s="55">
        <f>98.04</f>
        <v>98.04</v>
      </c>
      <c r="P338" s="56">
        <v>80.48</v>
      </c>
      <c r="Q338" s="55">
        <v>72.29</v>
      </c>
      <c r="R338" s="57">
        <f t="shared" si="40"/>
        <v>83.60333333333334</v>
      </c>
      <c r="S338" s="58">
        <f t="shared" si="43"/>
        <v>38.30850558490693</v>
      </c>
    </row>
    <row r="339" spans="1:19" ht="15">
      <c r="A339" s="6">
        <v>336</v>
      </c>
      <c r="B339" s="38" t="s">
        <v>35</v>
      </c>
      <c r="C339" s="6">
        <v>11</v>
      </c>
      <c r="D339" s="38" t="s">
        <v>38</v>
      </c>
      <c r="E339" s="54"/>
      <c r="F339" s="54"/>
      <c r="G339" s="59">
        <v>2164</v>
      </c>
      <c r="H339" s="54">
        <v>2101.28</v>
      </c>
      <c r="I339" s="54"/>
      <c r="J339" s="55">
        <v>323.97</v>
      </c>
      <c r="K339" s="56">
        <v>303.28</v>
      </c>
      <c r="L339" s="55">
        <v>267.67</v>
      </c>
      <c r="M339" s="57">
        <f t="shared" si="41"/>
        <v>298.3066666666667</v>
      </c>
      <c r="N339" s="58">
        <f t="shared" si="42"/>
        <v>141.96426305236173</v>
      </c>
      <c r="O339" s="55">
        <v>92.28</v>
      </c>
      <c r="P339" s="56">
        <v>84.98</v>
      </c>
      <c r="Q339" s="55">
        <v>76.66</v>
      </c>
      <c r="R339" s="57">
        <f t="shared" si="40"/>
        <v>84.64</v>
      </c>
      <c r="S339" s="58">
        <f t="shared" si="43"/>
        <v>40.28021015761821</v>
      </c>
    </row>
    <row r="340" spans="1:19" ht="15">
      <c r="A340" s="6">
        <v>337</v>
      </c>
      <c r="B340" s="38" t="s">
        <v>35</v>
      </c>
      <c r="C340" s="6">
        <v>5</v>
      </c>
      <c r="D340" s="38"/>
      <c r="E340" s="54"/>
      <c r="F340" s="54"/>
      <c r="G340" s="67">
        <v>1975.63</v>
      </c>
      <c r="H340" s="55">
        <v>1975.63</v>
      </c>
      <c r="I340" s="54"/>
      <c r="J340" s="60">
        <v>299.13</v>
      </c>
      <c r="K340" s="55">
        <v>307.16</v>
      </c>
      <c r="L340" s="60">
        <v>282.81140000000005</v>
      </c>
      <c r="M340" s="57">
        <f>(L340+K340+J340)/3</f>
        <v>296.36713333333336</v>
      </c>
      <c r="N340" s="58">
        <f t="shared" si="42"/>
        <v>150.0114562612095</v>
      </c>
      <c r="O340" s="60">
        <v>90.3</v>
      </c>
      <c r="P340" s="55">
        <v>76.36</v>
      </c>
      <c r="Q340" s="60">
        <v>86.50893999999961</v>
      </c>
      <c r="R340" s="57">
        <f t="shared" si="40"/>
        <v>84.38964666666654</v>
      </c>
      <c r="S340" s="58">
        <f t="shared" si="43"/>
        <v>42.71530937810549</v>
      </c>
    </row>
    <row r="341" spans="1:19" ht="15">
      <c r="A341" s="6">
        <v>338</v>
      </c>
      <c r="B341" s="38" t="s">
        <v>97</v>
      </c>
      <c r="C341" s="6">
        <v>12</v>
      </c>
      <c r="D341" s="38" t="s">
        <v>38</v>
      </c>
      <c r="E341" s="54">
        <v>8</v>
      </c>
      <c r="F341" s="54"/>
      <c r="G341" s="59">
        <v>374.3</v>
      </c>
      <c r="H341" s="59">
        <v>354.38</v>
      </c>
      <c r="I341" s="54"/>
      <c r="J341" s="55">
        <v>61.39</v>
      </c>
      <c r="K341" s="56">
        <v>56.79</v>
      </c>
      <c r="L341" s="55">
        <v>52.51</v>
      </c>
      <c r="M341" s="57">
        <f t="shared" si="41"/>
        <v>56.89666666666667</v>
      </c>
      <c r="N341" s="58">
        <f t="shared" si="42"/>
        <v>160.55270237221816</v>
      </c>
      <c r="O341" s="55">
        <v>26.61</v>
      </c>
      <c r="P341" s="56">
        <v>25.01</v>
      </c>
      <c r="Q341" s="55">
        <v>20.79</v>
      </c>
      <c r="R341" s="57">
        <f t="shared" si="40"/>
        <v>24.136666666666667</v>
      </c>
      <c r="S341" s="58">
        <f t="shared" si="43"/>
        <v>68.10956224015652</v>
      </c>
    </row>
    <row r="342" spans="1:19" ht="15">
      <c r="A342" s="6">
        <v>339</v>
      </c>
      <c r="B342" s="38" t="s">
        <v>98</v>
      </c>
      <c r="C342" s="6">
        <v>32</v>
      </c>
      <c r="D342" s="38" t="s">
        <v>38</v>
      </c>
      <c r="E342" s="54"/>
      <c r="F342" s="54"/>
      <c r="G342" s="59">
        <f>1968+1957+1949</f>
        <v>5874</v>
      </c>
      <c r="H342" s="54">
        <f>1967.53+1863.71+1949.25</f>
        <v>5780.49</v>
      </c>
      <c r="I342" s="54"/>
      <c r="J342" s="55">
        <f>221.71+209.04+210.14</f>
        <v>640.89</v>
      </c>
      <c r="K342" s="56">
        <f>212.87+205.21+210.79</f>
        <v>628.87</v>
      </c>
      <c r="L342" s="55">
        <v>593.19</v>
      </c>
      <c r="M342" s="57">
        <f t="shared" si="41"/>
        <v>620.9833333333332</v>
      </c>
      <c r="N342" s="58">
        <f t="shared" si="42"/>
        <v>107.42745568858925</v>
      </c>
      <c r="O342" s="55">
        <f>103.61+103+120.3</f>
        <v>326.91</v>
      </c>
      <c r="P342" s="56">
        <f>105.83+100.3+124.11</f>
        <v>330.24</v>
      </c>
      <c r="Q342" s="55">
        <v>283.66</v>
      </c>
      <c r="R342" s="57">
        <f t="shared" si="40"/>
        <v>313.6033333333334</v>
      </c>
      <c r="S342" s="58">
        <f t="shared" si="43"/>
        <v>54.25203284381314</v>
      </c>
    </row>
    <row r="343" spans="1:19" ht="15">
      <c r="A343" s="6">
        <v>340</v>
      </c>
      <c r="B343" s="38" t="s">
        <v>98</v>
      </c>
      <c r="C343" s="6">
        <v>53</v>
      </c>
      <c r="D343" s="38"/>
      <c r="E343" s="54"/>
      <c r="F343" s="54"/>
      <c r="G343" s="59">
        <v>2549.78</v>
      </c>
      <c r="H343" s="59">
        <v>2549.78</v>
      </c>
      <c r="I343" s="54"/>
      <c r="J343" s="60">
        <v>248.71</v>
      </c>
      <c r="K343" s="55">
        <v>237.17</v>
      </c>
      <c r="L343" s="60">
        <v>164.0257</v>
      </c>
      <c r="M343" s="57">
        <f>(L343+K343+J343)/3</f>
        <v>216.63523333333333</v>
      </c>
      <c r="N343" s="58">
        <f t="shared" si="42"/>
        <v>84.96232354686809</v>
      </c>
      <c r="O343" s="60">
        <v>230.52</v>
      </c>
      <c r="P343" s="55">
        <v>248.85</v>
      </c>
      <c r="Q343" s="60">
        <v>255.60469999999998</v>
      </c>
      <c r="R343" s="57">
        <f t="shared" si="40"/>
        <v>244.99156666666667</v>
      </c>
      <c r="S343" s="58">
        <f t="shared" si="43"/>
        <v>96.08341373242658</v>
      </c>
    </row>
    <row r="344" spans="1:19" ht="15">
      <c r="A344" s="6">
        <v>341</v>
      </c>
      <c r="B344" s="38" t="s">
        <v>99</v>
      </c>
      <c r="C344" s="6">
        <v>28</v>
      </c>
      <c r="D344" s="38" t="s">
        <v>38</v>
      </c>
      <c r="E344" s="54"/>
      <c r="F344" s="54"/>
      <c r="G344" s="59">
        <v>2290</v>
      </c>
      <c r="H344" s="54">
        <v>2257.35</v>
      </c>
      <c r="I344" s="54"/>
      <c r="J344" s="55">
        <v>337.49</v>
      </c>
      <c r="K344" s="56">
        <v>298.26</v>
      </c>
      <c r="L344" s="55">
        <v>260.19</v>
      </c>
      <c r="M344" s="57">
        <f t="shared" si="41"/>
        <v>298.6466666666667</v>
      </c>
      <c r="N344" s="58">
        <f t="shared" si="42"/>
        <v>132.2996729203122</v>
      </c>
      <c r="O344" s="55">
        <v>123.52</v>
      </c>
      <c r="P344" s="56">
        <v>124.55</v>
      </c>
      <c r="Q344" s="55">
        <v>120.07</v>
      </c>
      <c r="R344" s="57">
        <f t="shared" si="40"/>
        <v>122.71333333333332</v>
      </c>
      <c r="S344" s="58">
        <f t="shared" si="43"/>
        <v>54.3616777785161</v>
      </c>
    </row>
    <row r="345" spans="1:19" ht="15">
      <c r="A345" s="6">
        <v>342</v>
      </c>
      <c r="B345" s="38" t="s">
        <v>99</v>
      </c>
      <c r="C345" s="6">
        <v>30</v>
      </c>
      <c r="D345" s="38" t="s">
        <v>38</v>
      </c>
      <c r="E345" s="54">
        <v>39</v>
      </c>
      <c r="F345" s="54"/>
      <c r="G345" s="59">
        <v>1526</v>
      </c>
      <c r="H345" s="54">
        <v>1507.5</v>
      </c>
      <c r="I345" s="54"/>
      <c r="J345" s="55">
        <v>280.27</v>
      </c>
      <c r="K345" s="56">
        <v>273</v>
      </c>
      <c r="L345" s="55">
        <v>219.7</v>
      </c>
      <c r="M345" s="57">
        <f t="shared" si="41"/>
        <v>257.6566666666667</v>
      </c>
      <c r="N345" s="58">
        <f t="shared" si="42"/>
        <v>170.9165284687673</v>
      </c>
      <c r="O345" s="55">
        <v>92.4</v>
      </c>
      <c r="P345" s="56">
        <v>84.77</v>
      </c>
      <c r="Q345" s="55">
        <v>91.57</v>
      </c>
      <c r="R345" s="57">
        <f t="shared" si="40"/>
        <v>89.58</v>
      </c>
      <c r="S345" s="58">
        <f t="shared" si="43"/>
        <v>59.4228855721393</v>
      </c>
    </row>
    <row r="346" spans="1:19" ht="15">
      <c r="A346" s="6">
        <v>343</v>
      </c>
      <c r="B346" s="38" t="s">
        <v>99</v>
      </c>
      <c r="C346" s="6">
        <v>32</v>
      </c>
      <c r="D346" s="38" t="s">
        <v>38</v>
      </c>
      <c r="E346" s="54"/>
      <c r="F346" s="54"/>
      <c r="G346" s="59">
        <v>2252</v>
      </c>
      <c r="H346" s="54">
        <v>2073.58</v>
      </c>
      <c r="I346" s="54"/>
      <c r="J346" s="55">
        <v>297.4</v>
      </c>
      <c r="K346" s="56">
        <v>281.94</v>
      </c>
      <c r="L346" s="55">
        <v>246.14</v>
      </c>
      <c r="M346" s="57">
        <f t="shared" si="41"/>
        <v>275.15999999999997</v>
      </c>
      <c r="N346" s="58">
        <f t="shared" si="42"/>
        <v>132.698039140038</v>
      </c>
      <c r="O346" s="55">
        <v>133.85</v>
      </c>
      <c r="P346" s="56">
        <v>134.95</v>
      </c>
      <c r="Q346" s="55">
        <v>132.41</v>
      </c>
      <c r="R346" s="57">
        <f t="shared" si="40"/>
        <v>133.73666666666665</v>
      </c>
      <c r="S346" s="58">
        <f t="shared" si="43"/>
        <v>64.49554233097669</v>
      </c>
    </row>
    <row r="347" spans="1:19" ht="15">
      <c r="A347" s="6">
        <v>344</v>
      </c>
      <c r="B347" s="38" t="s">
        <v>99</v>
      </c>
      <c r="C347" s="6">
        <v>34</v>
      </c>
      <c r="D347" s="38" t="s">
        <v>38</v>
      </c>
      <c r="E347" s="54"/>
      <c r="F347" s="54"/>
      <c r="G347" s="59">
        <v>2248</v>
      </c>
      <c r="H347" s="54">
        <v>2169.59</v>
      </c>
      <c r="I347" s="54"/>
      <c r="J347" s="55">
        <v>291.86</v>
      </c>
      <c r="K347" s="56">
        <v>287.1</v>
      </c>
      <c r="L347" s="55">
        <v>251.66</v>
      </c>
      <c r="M347" s="57">
        <f t="shared" si="41"/>
        <v>276.87333333333333</v>
      </c>
      <c r="N347" s="58">
        <f t="shared" si="42"/>
        <v>127.6155095355958</v>
      </c>
      <c r="O347" s="55">
        <v>123.68</v>
      </c>
      <c r="P347" s="56">
        <v>130.75</v>
      </c>
      <c r="Q347" s="55">
        <v>116.29</v>
      </c>
      <c r="R347" s="57">
        <f t="shared" si="40"/>
        <v>123.57333333333334</v>
      </c>
      <c r="S347" s="58">
        <f t="shared" si="43"/>
        <v>56.9569980195951</v>
      </c>
    </row>
    <row r="348" spans="1:19" ht="15">
      <c r="A348" s="6">
        <v>345</v>
      </c>
      <c r="B348" s="38" t="s">
        <v>99</v>
      </c>
      <c r="C348" s="6">
        <v>36</v>
      </c>
      <c r="D348" s="38" t="s">
        <v>38</v>
      </c>
      <c r="E348" s="54"/>
      <c r="F348" s="54"/>
      <c r="G348" s="59">
        <v>1684</v>
      </c>
      <c r="H348" s="54">
        <v>1644.85</v>
      </c>
      <c r="I348" s="54"/>
      <c r="J348" s="55">
        <v>188.58</v>
      </c>
      <c r="K348" s="56">
        <v>173.41</v>
      </c>
      <c r="L348" s="55">
        <v>149.87</v>
      </c>
      <c r="M348" s="57">
        <f t="shared" si="41"/>
        <v>170.62</v>
      </c>
      <c r="N348" s="58">
        <f t="shared" si="42"/>
        <v>103.7298233881509</v>
      </c>
      <c r="O348" s="55">
        <v>82.73</v>
      </c>
      <c r="P348" s="56">
        <v>83.88</v>
      </c>
      <c r="Q348" s="55">
        <v>82.27</v>
      </c>
      <c r="R348" s="57">
        <f t="shared" si="40"/>
        <v>82.96</v>
      </c>
      <c r="S348" s="58">
        <f t="shared" si="43"/>
        <v>50.43620998875277</v>
      </c>
    </row>
    <row r="349" spans="1:19" ht="15">
      <c r="A349" s="6">
        <v>346</v>
      </c>
      <c r="B349" s="38" t="s">
        <v>99</v>
      </c>
      <c r="C349" s="6">
        <v>37</v>
      </c>
      <c r="D349" s="38" t="s">
        <v>38</v>
      </c>
      <c r="E349" s="54"/>
      <c r="F349" s="54"/>
      <c r="G349" s="59">
        <v>1937</v>
      </c>
      <c r="H349" s="54">
        <v>1714.17</v>
      </c>
      <c r="I349" s="54"/>
      <c r="J349" s="55">
        <v>203.55</v>
      </c>
      <c r="K349" s="56">
        <v>191.21</v>
      </c>
      <c r="L349" s="55">
        <v>158.81</v>
      </c>
      <c r="M349" s="57">
        <f t="shared" si="41"/>
        <v>184.5233333333333</v>
      </c>
      <c r="N349" s="58">
        <f aca="true" t="shared" si="44" ref="N349:N367">M349/H349*1000</f>
        <v>107.64587720782262</v>
      </c>
      <c r="O349" s="55">
        <v>71.65</v>
      </c>
      <c r="P349" s="56">
        <v>65.71</v>
      </c>
      <c r="Q349" s="55">
        <v>68.02</v>
      </c>
      <c r="R349" s="57">
        <f t="shared" si="40"/>
        <v>68.46</v>
      </c>
      <c r="S349" s="58">
        <f t="shared" si="43"/>
        <v>39.93769579446612</v>
      </c>
    </row>
    <row r="350" spans="1:19" ht="15">
      <c r="A350" s="6">
        <v>347</v>
      </c>
      <c r="B350" s="38" t="s">
        <v>99</v>
      </c>
      <c r="C350" s="6">
        <v>39</v>
      </c>
      <c r="D350" s="38" t="s">
        <v>38</v>
      </c>
      <c r="E350" s="54"/>
      <c r="F350" s="54"/>
      <c r="G350" s="59">
        <f>2810+2271</f>
        <v>5081</v>
      </c>
      <c r="H350" s="54">
        <f>2680.22+2058.4</f>
        <v>4738.62</v>
      </c>
      <c r="I350" s="54"/>
      <c r="J350" s="55">
        <f>343.6+297.7</f>
        <v>641.3</v>
      </c>
      <c r="K350" s="56">
        <f>358.59+294.38</f>
        <v>652.97</v>
      </c>
      <c r="L350" s="55">
        <v>562.16</v>
      </c>
      <c r="M350" s="57">
        <f t="shared" si="41"/>
        <v>618.8100000000001</v>
      </c>
      <c r="N350" s="58">
        <f t="shared" si="44"/>
        <v>130.5886523924687</v>
      </c>
      <c r="O350" s="55">
        <f>168.41+122.34</f>
        <v>290.75</v>
      </c>
      <c r="P350" s="56">
        <f>164.19+132.83</f>
        <v>297.02</v>
      </c>
      <c r="Q350" s="55">
        <v>285.23</v>
      </c>
      <c r="R350" s="57">
        <f t="shared" si="40"/>
        <v>291</v>
      </c>
      <c r="S350" s="58">
        <f t="shared" si="43"/>
        <v>61.41028400673614</v>
      </c>
    </row>
    <row r="351" spans="1:19" ht="15">
      <c r="A351" s="6">
        <v>348</v>
      </c>
      <c r="B351" s="38" t="s">
        <v>99</v>
      </c>
      <c r="C351" s="6">
        <v>38</v>
      </c>
      <c r="D351" s="38"/>
      <c r="E351" s="54"/>
      <c r="F351" s="54"/>
      <c r="G351" s="64">
        <v>1670.7</v>
      </c>
      <c r="H351" s="64">
        <v>1670.7</v>
      </c>
      <c r="I351" s="54"/>
      <c r="J351" s="60">
        <v>207.18</v>
      </c>
      <c r="K351" s="55">
        <v>197.13</v>
      </c>
      <c r="L351" s="60">
        <v>176.2774</v>
      </c>
      <c r="M351" s="57">
        <f>(L351+K351+J351)/3</f>
        <v>193.52913333333333</v>
      </c>
      <c r="N351" s="58">
        <f t="shared" si="44"/>
        <v>115.8371540871092</v>
      </c>
      <c r="O351" s="60">
        <v>83.16</v>
      </c>
      <c r="P351" s="55">
        <v>87.37</v>
      </c>
      <c r="Q351" s="60">
        <v>82.86274000000004</v>
      </c>
      <c r="R351" s="57">
        <f t="shared" si="40"/>
        <v>84.46424666666668</v>
      </c>
      <c r="S351" s="58">
        <f t="shared" si="43"/>
        <v>50.55620199118135</v>
      </c>
    </row>
    <row r="352" spans="1:19" ht="30" customHeight="1">
      <c r="A352" s="6">
        <v>349</v>
      </c>
      <c r="B352" s="38" t="s">
        <v>29</v>
      </c>
      <c r="C352" s="6">
        <v>6</v>
      </c>
      <c r="D352" s="38" t="s">
        <v>8</v>
      </c>
      <c r="E352" s="54">
        <v>12</v>
      </c>
      <c r="F352" s="54"/>
      <c r="G352" s="54">
        <v>635.7</v>
      </c>
      <c r="H352" s="54">
        <v>407</v>
      </c>
      <c r="I352" s="86">
        <v>36</v>
      </c>
      <c r="J352" s="60">
        <v>83.46</v>
      </c>
      <c r="K352" s="55">
        <v>79.44</v>
      </c>
      <c r="L352" s="60">
        <v>77.49289706379848</v>
      </c>
      <c r="M352" s="57">
        <f>(L352+K352+J352)/3</f>
        <v>80.13096568793281</v>
      </c>
      <c r="N352" s="58">
        <f t="shared" si="44"/>
        <v>196.8819795772305</v>
      </c>
      <c r="O352" s="60">
        <v>27.87</v>
      </c>
      <c r="P352" s="55">
        <v>32.92</v>
      </c>
      <c r="Q352" s="60">
        <v>33.207102936201544</v>
      </c>
      <c r="R352" s="57">
        <f t="shared" si="40"/>
        <v>31.332367645400513</v>
      </c>
      <c r="S352" s="58">
        <f t="shared" si="43"/>
        <v>76.98370428845334</v>
      </c>
    </row>
    <row r="353" spans="1:19" ht="15" customHeight="1">
      <c r="A353" s="6">
        <v>350</v>
      </c>
      <c r="B353" s="38" t="s">
        <v>29</v>
      </c>
      <c r="C353" s="6">
        <v>17</v>
      </c>
      <c r="D353" s="38" t="s">
        <v>8</v>
      </c>
      <c r="E353" s="54">
        <v>13</v>
      </c>
      <c r="F353" s="54"/>
      <c r="G353" s="54">
        <v>740.8</v>
      </c>
      <c r="H353" s="54">
        <v>180.4</v>
      </c>
      <c r="I353" s="86">
        <v>14</v>
      </c>
      <c r="J353" s="54"/>
      <c r="K353" s="54"/>
      <c r="L353" s="54"/>
      <c r="M353" s="57">
        <f aca="true" t="shared" si="45" ref="M353:M365">(L353+K353+J353)/3</f>
        <v>0</v>
      </c>
      <c r="N353" s="58">
        <f t="shared" si="44"/>
        <v>0</v>
      </c>
      <c r="O353" s="54"/>
      <c r="P353" s="54"/>
      <c r="Q353" s="54"/>
      <c r="R353" s="57">
        <f t="shared" si="40"/>
        <v>0</v>
      </c>
      <c r="S353" s="58">
        <f t="shared" si="43"/>
        <v>0</v>
      </c>
    </row>
    <row r="354" spans="1:19" ht="26.25">
      <c r="A354" s="6">
        <v>351</v>
      </c>
      <c r="B354" s="38" t="s">
        <v>29</v>
      </c>
      <c r="C354" s="6">
        <v>2</v>
      </c>
      <c r="D354" s="38" t="s">
        <v>38</v>
      </c>
      <c r="E354" s="54">
        <v>45</v>
      </c>
      <c r="F354" s="54"/>
      <c r="G354" s="59">
        <v>2040</v>
      </c>
      <c r="H354" s="54">
        <v>1956.94</v>
      </c>
      <c r="I354" s="86"/>
      <c r="J354" s="55">
        <v>344.49</v>
      </c>
      <c r="K354" s="56">
        <v>316</v>
      </c>
      <c r="L354" s="55">
        <v>280.42</v>
      </c>
      <c r="M354" s="57">
        <f t="shared" si="45"/>
        <v>313.6366666666667</v>
      </c>
      <c r="N354" s="58">
        <f t="shared" si="44"/>
        <v>160.26892325092578</v>
      </c>
      <c r="O354" s="55">
        <v>109.09</v>
      </c>
      <c r="P354" s="56">
        <v>118.38</v>
      </c>
      <c r="Q354" s="55">
        <v>102.71</v>
      </c>
      <c r="R354" s="57">
        <f t="shared" si="40"/>
        <v>110.06</v>
      </c>
      <c r="S354" s="58">
        <f t="shared" si="43"/>
        <v>56.24086584156898</v>
      </c>
    </row>
    <row r="355" spans="1:19" ht="26.25">
      <c r="A355" s="6">
        <v>352</v>
      </c>
      <c r="B355" s="38" t="s">
        <v>29</v>
      </c>
      <c r="C355" s="6">
        <v>4</v>
      </c>
      <c r="D355" s="38" t="s">
        <v>38</v>
      </c>
      <c r="E355" s="54">
        <v>40</v>
      </c>
      <c r="F355" s="54"/>
      <c r="G355" s="59">
        <v>2866</v>
      </c>
      <c r="H355" s="54">
        <v>2323.68</v>
      </c>
      <c r="I355" s="86"/>
      <c r="J355" s="55">
        <v>389.73</v>
      </c>
      <c r="K355" s="56">
        <v>349.92</v>
      </c>
      <c r="L355" s="55">
        <v>301.95</v>
      </c>
      <c r="M355" s="57">
        <f t="shared" si="45"/>
        <v>347.2</v>
      </c>
      <c r="N355" s="58">
        <f t="shared" si="44"/>
        <v>149.4181642911244</v>
      </c>
      <c r="O355" s="55">
        <v>93.47</v>
      </c>
      <c r="P355" s="56">
        <v>98.12</v>
      </c>
      <c r="Q355" s="55">
        <v>93.72</v>
      </c>
      <c r="R355" s="57">
        <f t="shared" si="40"/>
        <v>95.10333333333334</v>
      </c>
      <c r="S355" s="58">
        <f t="shared" si="43"/>
        <v>40.927895981087474</v>
      </c>
    </row>
    <row r="356" spans="1:19" ht="26.25">
      <c r="A356" s="6">
        <v>353</v>
      </c>
      <c r="B356" s="38" t="s">
        <v>29</v>
      </c>
      <c r="C356" s="6">
        <v>5</v>
      </c>
      <c r="D356" s="38" t="s">
        <v>38</v>
      </c>
      <c r="E356" s="54"/>
      <c r="F356" s="54"/>
      <c r="G356" s="59">
        <v>1782</v>
      </c>
      <c r="H356" s="54">
        <v>1632.49</v>
      </c>
      <c r="I356" s="86"/>
      <c r="J356" s="55">
        <v>201.23</v>
      </c>
      <c r="K356" s="56">
        <v>200.28</v>
      </c>
      <c r="L356" s="55">
        <v>192.66</v>
      </c>
      <c r="M356" s="57">
        <f t="shared" si="45"/>
        <v>198.05666666666664</v>
      </c>
      <c r="N356" s="58">
        <f t="shared" si="44"/>
        <v>121.32182535064022</v>
      </c>
      <c r="O356" s="55">
        <v>57.01</v>
      </c>
      <c r="P356" s="56">
        <v>62.85</v>
      </c>
      <c r="Q356" s="55">
        <v>56.61</v>
      </c>
      <c r="R356" s="57">
        <f t="shared" si="40"/>
        <v>58.82333333333333</v>
      </c>
      <c r="S356" s="58">
        <f t="shared" si="43"/>
        <v>36.03289045160052</v>
      </c>
    </row>
    <row r="357" spans="1:19" ht="15">
      <c r="A357" s="6">
        <v>354</v>
      </c>
      <c r="B357" s="38" t="s">
        <v>30</v>
      </c>
      <c r="C357" s="6">
        <v>1</v>
      </c>
      <c r="D357" s="38" t="s">
        <v>8</v>
      </c>
      <c r="E357" s="54">
        <v>45</v>
      </c>
      <c r="F357" s="54"/>
      <c r="G357" s="59">
        <v>1902.2</v>
      </c>
      <c r="H357" s="59">
        <v>1846.17</v>
      </c>
      <c r="I357" s="86">
        <v>110</v>
      </c>
      <c r="J357" s="60">
        <v>266.14</v>
      </c>
      <c r="K357" s="55">
        <v>263.12</v>
      </c>
      <c r="L357" s="60">
        <v>236.26105107627586</v>
      </c>
      <c r="M357" s="57">
        <f t="shared" si="45"/>
        <v>255.17368369209194</v>
      </c>
      <c r="N357" s="58">
        <f t="shared" si="44"/>
        <v>138.21786926019377</v>
      </c>
      <c r="O357" s="60">
        <v>100.41</v>
      </c>
      <c r="P357" s="55">
        <v>118.42</v>
      </c>
      <c r="Q357" s="60">
        <v>107.87894892372401</v>
      </c>
      <c r="R357" s="57">
        <f t="shared" si="40"/>
        <v>108.90298297457467</v>
      </c>
      <c r="S357" s="58">
        <f t="shared" si="43"/>
        <v>58.988599627647865</v>
      </c>
    </row>
    <row r="358" spans="1:19" ht="15">
      <c r="A358" s="6">
        <v>355</v>
      </c>
      <c r="B358" s="38" t="s">
        <v>30</v>
      </c>
      <c r="C358" s="6">
        <v>3</v>
      </c>
      <c r="D358" s="38" t="s">
        <v>8</v>
      </c>
      <c r="E358" s="54">
        <v>45</v>
      </c>
      <c r="F358" s="54"/>
      <c r="G358" s="59">
        <v>1911.6</v>
      </c>
      <c r="H358" s="59">
        <v>1816.3</v>
      </c>
      <c r="I358" s="86">
        <v>109</v>
      </c>
      <c r="J358" s="60">
        <v>298.95</v>
      </c>
      <c r="K358" s="55">
        <v>272.94</v>
      </c>
      <c r="L358" s="60">
        <v>251.95305358640627</v>
      </c>
      <c r="M358" s="57">
        <f t="shared" si="45"/>
        <v>274.61435119546877</v>
      </c>
      <c r="N358" s="58">
        <f t="shared" si="44"/>
        <v>151.19437934012487</v>
      </c>
      <c r="O358" s="60">
        <v>120.2</v>
      </c>
      <c r="P358" s="55">
        <v>115.6</v>
      </c>
      <c r="Q358" s="60">
        <v>110.82694641359392</v>
      </c>
      <c r="R358" s="57">
        <f t="shared" si="40"/>
        <v>115.54231547119798</v>
      </c>
      <c r="S358" s="58">
        <f t="shared" si="43"/>
        <v>63.61411411727026</v>
      </c>
    </row>
    <row r="359" spans="1:19" ht="15">
      <c r="A359" s="6">
        <v>356</v>
      </c>
      <c r="B359" s="38" t="s">
        <v>30</v>
      </c>
      <c r="C359" s="6">
        <v>5</v>
      </c>
      <c r="D359" s="38" t="s">
        <v>8</v>
      </c>
      <c r="E359" s="54">
        <v>45</v>
      </c>
      <c r="F359" s="54"/>
      <c r="G359" s="59">
        <v>1906.73</v>
      </c>
      <c r="H359" s="59">
        <v>1830.32</v>
      </c>
      <c r="I359" s="86">
        <v>88</v>
      </c>
      <c r="J359" s="60">
        <v>276.37</v>
      </c>
      <c r="K359" s="55">
        <v>241.21</v>
      </c>
      <c r="L359" s="60">
        <v>210.24603897893834</v>
      </c>
      <c r="M359" s="57">
        <f t="shared" si="45"/>
        <v>242.60867965964613</v>
      </c>
      <c r="N359" s="58">
        <f t="shared" si="44"/>
        <v>132.5498708748449</v>
      </c>
      <c r="O359" s="60">
        <v>103.62</v>
      </c>
      <c r="P359" s="55">
        <v>98.61</v>
      </c>
      <c r="Q359" s="60">
        <v>96.89396102106143</v>
      </c>
      <c r="R359" s="57">
        <f t="shared" si="40"/>
        <v>99.70798700702049</v>
      </c>
      <c r="S359" s="58">
        <f t="shared" si="43"/>
        <v>54.4757129939139</v>
      </c>
    </row>
    <row r="360" spans="1:19" ht="15">
      <c r="A360" s="6">
        <v>357</v>
      </c>
      <c r="B360" s="38" t="s">
        <v>30</v>
      </c>
      <c r="C360" s="6" t="s">
        <v>31</v>
      </c>
      <c r="D360" s="38" t="s">
        <v>8</v>
      </c>
      <c r="E360" s="54">
        <v>45</v>
      </c>
      <c r="F360" s="54"/>
      <c r="G360" s="59">
        <v>1896.11</v>
      </c>
      <c r="H360" s="59">
        <v>1873.66</v>
      </c>
      <c r="I360" s="86">
        <v>94</v>
      </c>
      <c r="J360" s="60">
        <v>291.1</v>
      </c>
      <c r="K360" s="55">
        <v>294.16</v>
      </c>
      <c r="L360" s="60">
        <v>268.91242114285365</v>
      </c>
      <c r="M360" s="57">
        <f t="shared" si="45"/>
        <v>284.72414038095127</v>
      </c>
      <c r="N360" s="58">
        <f t="shared" si="44"/>
        <v>151.9614766718355</v>
      </c>
      <c r="O360" s="60">
        <v>117.54</v>
      </c>
      <c r="P360" s="55">
        <v>109.77</v>
      </c>
      <c r="Q360" s="60">
        <v>119.49757885714631</v>
      </c>
      <c r="R360" s="57">
        <f t="shared" si="40"/>
        <v>115.60252628571544</v>
      </c>
      <c r="S360" s="58">
        <f t="shared" si="43"/>
        <v>61.69877474339818</v>
      </c>
    </row>
    <row r="361" spans="1:19" ht="15">
      <c r="A361" s="6">
        <v>358</v>
      </c>
      <c r="B361" s="38" t="s">
        <v>30</v>
      </c>
      <c r="C361" s="6" t="s">
        <v>32</v>
      </c>
      <c r="D361" s="38" t="s">
        <v>8</v>
      </c>
      <c r="E361" s="54">
        <v>45</v>
      </c>
      <c r="F361" s="54"/>
      <c r="G361" s="59">
        <v>2255</v>
      </c>
      <c r="H361" s="59">
        <v>2080.59</v>
      </c>
      <c r="I361" s="86">
        <v>110</v>
      </c>
      <c r="J361" s="60">
        <v>266.14</v>
      </c>
      <c r="K361" s="55">
        <v>226.75</v>
      </c>
      <c r="L361" s="60">
        <v>222.8735132834014</v>
      </c>
      <c r="M361" s="57">
        <f t="shared" si="45"/>
        <v>238.58783776113378</v>
      </c>
      <c r="N361" s="58">
        <f t="shared" si="44"/>
        <v>114.67316374736674</v>
      </c>
      <c r="O361" s="60">
        <v>94.69</v>
      </c>
      <c r="P361" s="55">
        <v>105.25</v>
      </c>
      <c r="Q361" s="60">
        <v>99.99648671659841</v>
      </c>
      <c r="R361" s="57">
        <f t="shared" si="40"/>
        <v>99.97882890553281</v>
      </c>
      <c r="S361" s="58">
        <f t="shared" si="43"/>
        <v>48.053114215454656</v>
      </c>
    </row>
    <row r="362" spans="1:19" ht="15">
      <c r="A362" s="6">
        <v>359</v>
      </c>
      <c r="B362" s="38" t="s">
        <v>30</v>
      </c>
      <c r="C362" s="6" t="s">
        <v>33</v>
      </c>
      <c r="D362" s="38" t="s">
        <v>8</v>
      </c>
      <c r="E362" s="54">
        <v>45</v>
      </c>
      <c r="F362" s="54"/>
      <c r="G362" s="59">
        <v>2237.34</v>
      </c>
      <c r="H362" s="59">
        <v>1840.49</v>
      </c>
      <c r="I362" s="86">
        <v>113</v>
      </c>
      <c r="J362" s="60">
        <v>283.73</v>
      </c>
      <c r="K362" s="55">
        <v>289.44</v>
      </c>
      <c r="L362" s="60">
        <v>285.20293385318445</v>
      </c>
      <c r="M362" s="57">
        <f t="shared" si="45"/>
        <v>286.1243112843948</v>
      </c>
      <c r="N362" s="58">
        <f t="shared" si="44"/>
        <v>155.46094316426323</v>
      </c>
      <c r="O362" s="60">
        <v>142.06</v>
      </c>
      <c r="P362" s="55">
        <v>126.23</v>
      </c>
      <c r="Q362" s="60">
        <v>126.79706614681557</v>
      </c>
      <c r="R362" s="57">
        <f t="shared" si="40"/>
        <v>131.6956887156052</v>
      </c>
      <c r="S362" s="58">
        <f t="shared" si="43"/>
        <v>71.55468854251053</v>
      </c>
    </row>
    <row r="363" spans="1:19" ht="15">
      <c r="A363" s="6">
        <v>360</v>
      </c>
      <c r="B363" s="38" t="s">
        <v>30</v>
      </c>
      <c r="C363" s="6">
        <v>7</v>
      </c>
      <c r="D363" s="38" t="s">
        <v>38</v>
      </c>
      <c r="E363" s="54"/>
      <c r="F363" s="54"/>
      <c r="G363" s="59">
        <v>1884</v>
      </c>
      <c r="H363" s="54">
        <v>1829.79</v>
      </c>
      <c r="I363" s="54"/>
      <c r="J363" s="55">
        <v>245.24</v>
      </c>
      <c r="K363" s="56">
        <v>223.9</v>
      </c>
      <c r="L363" s="55">
        <v>203.62</v>
      </c>
      <c r="M363" s="57">
        <f t="shared" si="45"/>
        <v>224.25333333333333</v>
      </c>
      <c r="N363" s="58">
        <f t="shared" si="44"/>
        <v>122.55686900318251</v>
      </c>
      <c r="O363" s="55">
        <v>96.89</v>
      </c>
      <c r="P363" s="56">
        <v>96.02</v>
      </c>
      <c r="Q363" s="55">
        <v>94.53</v>
      </c>
      <c r="R363" s="57">
        <f t="shared" si="40"/>
        <v>95.81333333333333</v>
      </c>
      <c r="S363" s="58">
        <f t="shared" si="43"/>
        <v>52.36302162178902</v>
      </c>
    </row>
    <row r="364" spans="1:19" ht="15">
      <c r="A364" s="6">
        <v>361</v>
      </c>
      <c r="B364" s="38" t="s">
        <v>30</v>
      </c>
      <c r="C364" s="6">
        <v>9</v>
      </c>
      <c r="D364" s="38" t="s">
        <v>38</v>
      </c>
      <c r="E364" s="54"/>
      <c r="F364" s="54"/>
      <c r="G364" s="59">
        <v>1891</v>
      </c>
      <c r="H364" s="54">
        <v>1868.15</v>
      </c>
      <c r="I364" s="54"/>
      <c r="J364" s="55">
        <v>245.66</v>
      </c>
      <c r="K364" s="56">
        <v>225.41</v>
      </c>
      <c r="L364" s="55">
        <v>207.69</v>
      </c>
      <c r="M364" s="57">
        <f t="shared" si="45"/>
        <v>226.25333333333333</v>
      </c>
      <c r="N364" s="58">
        <f t="shared" si="44"/>
        <v>121.11090294319692</v>
      </c>
      <c r="O364" s="55">
        <v>122.5</v>
      </c>
      <c r="P364" s="56">
        <v>111.31</v>
      </c>
      <c r="Q364" s="55">
        <v>108.17</v>
      </c>
      <c r="R364" s="57">
        <f t="shared" si="40"/>
        <v>113.99333333333334</v>
      </c>
      <c r="S364" s="58">
        <f t="shared" si="43"/>
        <v>61.01936853750145</v>
      </c>
    </row>
    <row r="365" spans="1:19" ht="15">
      <c r="A365" s="6">
        <v>362</v>
      </c>
      <c r="B365" s="38" t="s">
        <v>100</v>
      </c>
      <c r="C365" s="6">
        <v>3</v>
      </c>
      <c r="D365" s="38" t="s">
        <v>38</v>
      </c>
      <c r="E365" s="54"/>
      <c r="F365" s="54"/>
      <c r="G365" s="59">
        <v>193.1</v>
      </c>
      <c r="H365" s="54">
        <v>193.05</v>
      </c>
      <c r="I365" s="54"/>
      <c r="J365" s="55">
        <v>29.59</v>
      </c>
      <c r="K365" s="56">
        <v>28.181</v>
      </c>
      <c r="L365" s="55">
        <v>27.32</v>
      </c>
      <c r="M365" s="57">
        <f t="shared" si="45"/>
        <v>28.36366666666667</v>
      </c>
      <c r="N365" s="58">
        <f t="shared" si="44"/>
        <v>146.92394025727359</v>
      </c>
      <c r="O365" s="55">
        <v>12.97</v>
      </c>
      <c r="P365" s="56">
        <v>13.556000000000001</v>
      </c>
      <c r="Q365" s="55">
        <v>13.93</v>
      </c>
      <c r="R365" s="57">
        <f t="shared" si="40"/>
        <v>13.485333333333335</v>
      </c>
      <c r="S365" s="58">
        <f t="shared" si="43"/>
        <v>69.85409652076319</v>
      </c>
    </row>
    <row r="366" spans="1:19" s="4" customFormat="1" ht="15">
      <c r="A366" s="2">
        <v>363</v>
      </c>
      <c r="B366" s="38" t="s">
        <v>100</v>
      </c>
      <c r="C366" s="2">
        <v>15</v>
      </c>
      <c r="D366" s="38"/>
      <c r="E366" s="74"/>
      <c r="F366" s="74"/>
      <c r="G366" s="85">
        <v>5732</v>
      </c>
      <c r="H366" s="77">
        <v>5732</v>
      </c>
      <c r="I366" s="74"/>
      <c r="J366" s="76">
        <v>361.4</v>
      </c>
      <c r="K366" s="77">
        <v>312.51</v>
      </c>
      <c r="L366" s="76">
        <v>224.96730000000002</v>
      </c>
      <c r="M366" s="78">
        <f>(L366+K366+J366)/3</f>
        <v>299.62576666666666</v>
      </c>
      <c r="N366" s="79">
        <f t="shared" si="44"/>
        <v>52.2724645266341</v>
      </c>
      <c r="O366" s="76">
        <v>105.7</v>
      </c>
      <c r="P366" s="77">
        <v>142.39</v>
      </c>
      <c r="Q366" s="76">
        <v>181.23270000000002</v>
      </c>
      <c r="R366" s="78">
        <f t="shared" si="40"/>
        <v>143.10756666666666</v>
      </c>
      <c r="S366" s="79">
        <f t="shared" si="43"/>
        <v>24.966428239125374</v>
      </c>
    </row>
    <row r="367" spans="1:19" ht="15">
      <c r="A367" s="6">
        <v>364</v>
      </c>
      <c r="B367" s="38" t="s">
        <v>100</v>
      </c>
      <c r="C367" s="6">
        <v>1</v>
      </c>
      <c r="D367" s="38"/>
      <c r="E367" s="54"/>
      <c r="F367" s="54"/>
      <c r="G367" s="67">
        <v>209.3</v>
      </c>
      <c r="H367" s="55">
        <v>209.3</v>
      </c>
      <c r="I367" s="54"/>
      <c r="J367" s="55">
        <v>29.71</v>
      </c>
      <c r="K367" s="55">
        <v>30.15</v>
      </c>
      <c r="L367" s="55">
        <v>28.44</v>
      </c>
      <c r="M367" s="57">
        <f>(L367+K367+J367)/3</f>
        <v>29.433333333333337</v>
      </c>
      <c r="N367" s="58">
        <f t="shared" si="44"/>
        <v>140.6274884535754</v>
      </c>
      <c r="O367" s="55">
        <v>10.58</v>
      </c>
      <c r="P367" s="55">
        <v>13.56</v>
      </c>
      <c r="Q367" s="55">
        <v>13.21</v>
      </c>
      <c r="R367" s="57">
        <f t="shared" si="40"/>
        <v>12.450000000000001</v>
      </c>
      <c r="S367" s="58">
        <f t="shared" si="43"/>
        <v>59.48399426660297</v>
      </c>
    </row>
    <row r="368" spans="1:19" ht="15">
      <c r="A368" s="6"/>
      <c r="B368" s="38"/>
      <c r="C368" s="6"/>
      <c r="D368" s="38"/>
      <c r="E368" s="6"/>
      <c r="F368" s="6"/>
      <c r="G368" s="8"/>
      <c r="H368" s="8"/>
      <c r="I368" s="6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7.25">
      <c r="A369" s="6"/>
      <c r="B369" s="104" t="s">
        <v>130</v>
      </c>
      <c r="C369" s="105"/>
      <c r="D369" s="106">
        <f>SUM(E5:E368)</f>
        <v>12802</v>
      </c>
      <c r="E369" s="106"/>
      <c r="F369" s="107"/>
      <c r="G369" s="107">
        <f>SUM(G5:G368)</f>
        <v>945042.2800000004</v>
      </c>
      <c r="H369" s="108">
        <f>SUM(H5:H368)</f>
        <v>798403.1300000002</v>
      </c>
      <c r="I369" s="108"/>
      <c r="J369" s="109">
        <f aca="true" t="shared" si="46" ref="J369:S369">SUM(J5:J368)</f>
        <v>110385.32999999997</v>
      </c>
      <c r="K369" s="109">
        <f t="shared" si="46"/>
        <v>105427.90099999997</v>
      </c>
      <c r="L369" s="109">
        <f t="shared" si="46"/>
        <v>92146.02287583152</v>
      </c>
      <c r="M369" s="108">
        <f t="shared" si="46"/>
        <v>102739.06382527713</v>
      </c>
      <c r="N369" s="108">
        <f t="shared" si="46"/>
        <v>48837.67741955326</v>
      </c>
      <c r="O369" s="109">
        <f t="shared" si="46"/>
        <v>43640.38000000001</v>
      </c>
      <c r="P369" s="109">
        <f t="shared" si="46"/>
        <v>42178.956000000006</v>
      </c>
      <c r="Q369" s="109">
        <f t="shared" si="46"/>
        <v>40885.52919813289</v>
      </c>
      <c r="R369" s="108">
        <f t="shared" si="46"/>
        <v>42293.78173271099</v>
      </c>
      <c r="S369" s="108">
        <f t="shared" si="46"/>
        <v>18085.72467485729</v>
      </c>
    </row>
    <row r="370" spans="14:19" ht="15">
      <c r="N370" s="3">
        <f>N369/(A367-4)</f>
        <v>135.66021505431462</v>
      </c>
      <c r="S370" s="3">
        <f>S369/(A367-22)</f>
        <v>52.88223589139559</v>
      </c>
    </row>
    <row r="371" ht="15">
      <c r="I371" s="1"/>
    </row>
    <row r="372" spans="5:9" ht="15">
      <c r="E372" s="98" t="s">
        <v>129</v>
      </c>
      <c r="F372" s="99"/>
      <c r="G372" s="100"/>
      <c r="I372" s="21"/>
    </row>
    <row r="373" spans="5:7" ht="15">
      <c r="E373" s="101" t="s">
        <v>128</v>
      </c>
      <c r="F373" s="102"/>
      <c r="G373" s="103"/>
    </row>
  </sheetData>
  <sheetProtection/>
  <autoFilter ref="B2:B372"/>
  <mergeCells count="19">
    <mergeCell ref="E372:G372"/>
    <mergeCell ref="E373:G373"/>
    <mergeCell ref="B3:B4"/>
    <mergeCell ref="C3:C4"/>
    <mergeCell ref="D3:D4"/>
    <mergeCell ref="H3:H4"/>
    <mergeCell ref="G3:G4"/>
    <mergeCell ref="F3:F4"/>
    <mergeCell ref="E3:E4"/>
    <mergeCell ref="D369:E369"/>
    <mergeCell ref="A2:S2"/>
    <mergeCell ref="N3:N4"/>
    <mergeCell ref="I3:I4"/>
    <mergeCell ref="M3:M4"/>
    <mergeCell ref="J3:L3"/>
    <mergeCell ref="O3:Q3"/>
    <mergeCell ref="R3:R4"/>
    <mergeCell ref="S3:S4"/>
    <mergeCell ref="A3:A4"/>
  </mergeCells>
  <printOptions/>
  <pageMargins left="0.2755905511811024" right="0.15748031496062992" top="0.35433070866141736" bottom="0.31496062992125984" header="0.275590551181102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2018-06-19T13:03:13Z</dcterms:modified>
  <cp:category/>
  <cp:version/>
  <cp:contentType/>
  <cp:contentStatus/>
</cp:coreProperties>
</file>