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9105" tabRatio="584" activeTab="0"/>
  </bookViews>
  <sheets>
    <sheet name="dATI" sheetId="1" r:id="rId1"/>
    <sheet name="izmaksas" sheetId="2" r:id="rId2"/>
    <sheet name="kopejais" sheetId="3" r:id="rId3"/>
    <sheet name="individualais" sheetId="4" r:id="rId4"/>
  </sheets>
  <externalReferences>
    <externalReference r:id="rId7"/>
  </externalReferences>
  <definedNames>
    <definedName name="_xlnm.Print_Titles" localSheetId="1">'izmaksas'!$7:$8</definedName>
  </definedNames>
  <calcPr fullCalcOnLoad="1"/>
</workbook>
</file>

<file path=xl/sharedStrings.xml><?xml version="1.0" encoding="utf-8"?>
<sst xmlns="http://schemas.openxmlformats.org/spreadsheetml/2006/main" count="174" uniqueCount="130">
  <si>
    <t>m2</t>
  </si>
  <si>
    <t>DARBU UN IZDEVUMU NOSAUKUMS</t>
  </si>
  <si>
    <t>MĒRV.</t>
  </si>
  <si>
    <t>APJ.</t>
  </si>
  <si>
    <t>PVN 21%</t>
  </si>
  <si>
    <t>Kopā :</t>
  </si>
  <si>
    <t>KOPĀ ar PVN</t>
  </si>
  <si>
    <t>kompl</t>
  </si>
  <si>
    <t>Energoaudita pārskats</t>
  </si>
  <si>
    <t>Tehniskās apsekošanas atzinums</t>
  </si>
  <si>
    <t>Dokumentu izstrāde, apkopojums un iesiešana</t>
  </si>
  <si>
    <t>Tāmes izstrāde</t>
  </si>
  <si>
    <t>Viekāršotās renovācijas projekts, tā saskaņošana*</t>
  </si>
  <si>
    <t>Vienības izmaksas Ls</t>
  </si>
  <si>
    <t>Kopējās izmaksas Ls</t>
  </si>
  <si>
    <t>KOPĀ                     LS</t>
  </si>
  <si>
    <t>Tehniskais projkets (līdz 1000m2)</t>
  </si>
  <si>
    <t>Tehniskais projkets (virs 1000m2)</t>
  </si>
  <si>
    <t>Stāvi</t>
  </si>
  <si>
    <r>
      <t xml:space="preserve">Jumta siltināšāna, savietotais jumts, </t>
    </r>
    <r>
      <rPr>
        <b/>
        <u val="single"/>
        <sz val="10"/>
        <rFont val="Tahoma"/>
        <family val="2"/>
      </rPr>
      <t>ēkas dzīvojamā m2</t>
    </r>
  </si>
  <si>
    <t>8.1.</t>
  </si>
  <si>
    <t>Jumts</t>
  </si>
  <si>
    <r>
      <t xml:space="preserve">Pagraba pārseguma siltnāšana, ar ģipškartona piekaramajiem griestiem </t>
    </r>
    <r>
      <rPr>
        <b/>
        <u val="single"/>
        <sz val="10"/>
        <rFont val="Tahoma"/>
        <family val="2"/>
      </rPr>
      <t>ēkas dzīvojamā m2</t>
    </r>
  </si>
  <si>
    <t>9.1.</t>
  </si>
  <si>
    <t>9.2.</t>
  </si>
  <si>
    <t>Pagrabs, ar ģipškartonu</t>
  </si>
  <si>
    <t>Bēniņi</t>
  </si>
  <si>
    <t>koeficents</t>
  </si>
  <si>
    <r>
      <t xml:space="preserve">Pagraba pārseguma siltnāšana, ar putupolistirola pieīmēšananu </t>
    </r>
    <r>
      <rPr>
        <b/>
        <u val="single"/>
        <sz val="10"/>
        <rFont val="Tahoma"/>
        <family val="2"/>
      </rPr>
      <t>ēkas dzīvojamā m2</t>
    </r>
  </si>
  <si>
    <r>
      <t xml:space="preserve">Bēniņu pārseguma siltināšana, ar vati, izveidojot staigājamos tiltiņus </t>
    </r>
    <r>
      <rPr>
        <b/>
        <u val="single"/>
        <sz val="10"/>
        <rFont val="Tahoma"/>
        <family val="2"/>
      </rPr>
      <t>ēkas dzīvojamā m2</t>
    </r>
  </si>
  <si>
    <t>KOPĀ ar PVN uz 1m2 dzīvojamās pl.</t>
  </si>
  <si>
    <t>LS/m2</t>
  </si>
  <si>
    <t>Pagrabs, ar putupolistirolu</t>
  </si>
  <si>
    <t>Sienas 100mm putupolistirols</t>
  </si>
  <si>
    <r>
      <t xml:space="preserve">ēkas fasādes siltināšana ar PUTUPOLISTIROLA palīdzību uz dekoratīvā apmetuma </t>
    </r>
    <r>
      <rPr>
        <b/>
        <u val="single"/>
        <sz val="10"/>
        <rFont val="Tahoma"/>
        <family val="2"/>
      </rPr>
      <t>ēkas dzīvojamā m2</t>
    </r>
  </si>
  <si>
    <t>Visi Logi PVC</t>
  </si>
  <si>
    <r>
      <t xml:space="preserve">ēkas fasādes siltināšana ar AKMENS VATE palīdzību uz dekoratīvā apmetuma </t>
    </r>
    <r>
      <rPr>
        <b/>
        <u val="single"/>
        <sz val="10"/>
        <rFont val="Tahoma"/>
        <family val="2"/>
      </rPr>
      <t>ēkas dzīvojamā m2</t>
    </r>
  </si>
  <si>
    <t xml:space="preserve">AKMENS VATTE 100mm </t>
  </si>
  <si>
    <t>11.1.</t>
  </si>
  <si>
    <t>12.1.</t>
  </si>
  <si>
    <t>Esošo DZĪVOKĻU  logu nomaiņa uz PVC konstrukcijas visai ēkai</t>
  </si>
  <si>
    <t>Apkures sistēmas maiņa, ar radiatoriem u.c.</t>
  </si>
  <si>
    <t>Radiatoru maiņa, alokatori, termo regulator</t>
  </si>
  <si>
    <t>Apkures sistēmas maiņa tajā skaitā ceurules</t>
  </si>
  <si>
    <t>Radiatoru nomaiņa, ar alokātoru un termo regulatoru uzstādīšanu</t>
  </si>
  <si>
    <t>kopējā apdzīvojamā kvadratūra</t>
  </si>
  <si>
    <t>Bēniņi ir (ir =1, nav =0)</t>
  </si>
  <si>
    <t>Izstrādājams TP vai VR ( TP=1 vai VR=2)</t>
  </si>
  <si>
    <t>atzīmes</t>
  </si>
  <si>
    <t>Vineai kāpņu telpai, ar stikla blokiem</t>
  </si>
  <si>
    <t>Kāpņu telpu remonsts, kosmētiskais</t>
  </si>
  <si>
    <t>13.1.</t>
  </si>
  <si>
    <t>Kāpņu telpas remonts</t>
  </si>
  <si>
    <t>Pamatojumi</t>
  </si>
  <si>
    <t>Būvuzraudzības izmaksas</t>
  </si>
  <si>
    <t>Informatīvās izmaksas</t>
  </si>
  <si>
    <t>Neparēdietie darbi</t>
  </si>
  <si>
    <t>Pagrabu siltināt ar vati, vai putupolistirolu  (P=1 vai V=2)</t>
  </si>
  <si>
    <t>Veco dzīvokļu logu attiecība % pret PVC (piemērma 0,2=20%)</t>
  </si>
  <si>
    <t>kāpņu telpu skaits (1-6 kāpņu telpas)</t>
  </si>
  <si>
    <t>14.1.</t>
  </si>
  <si>
    <t>15.1.</t>
  </si>
  <si>
    <t>15.2.</t>
  </si>
  <si>
    <t>16.</t>
  </si>
  <si>
    <t>%</t>
  </si>
  <si>
    <t>Ēkas vidējais energo patēriņš MWh gadā</t>
  </si>
  <si>
    <t>Eenergoresursu tarifs Ls/Mwh tajā sktiatā PVN</t>
  </si>
  <si>
    <t>Plānotais ieekonomējums % pēc renovācijas</t>
  </si>
  <si>
    <t>Pašreizējā apsaimniekošanas maksa Ls/m2 ar PVN</t>
  </si>
  <si>
    <t>Plānotā apsaimniekošanas maksa Ls/m2 ar PVN, pēc renovācijas darbu veikšanas</t>
  </si>
  <si>
    <t>Plānotais energoresursu izmaksu pieauguma % gadā attiecībā pret iepriekšējo (2 - 6)</t>
  </si>
  <si>
    <t xml:space="preserve">Dzīvokļu skaits ēkā </t>
  </si>
  <si>
    <t>Kāpņu telpas remonts (jā=1; nē=2)</t>
  </si>
  <si>
    <t>Vineai kāpņu telpa, durvis</t>
  </si>
  <si>
    <t>Esošo KOPLIETOŠANAS TELPU  logu nomaiņa uz PVC konstrukcijas(ja logi, stikla bloku)</t>
  </si>
  <si>
    <t>Vineai kāpņu telpai, ar atseviķiem logiemem</t>
  </si>
  <si>
    <t>Stikla bloku maiņa kāpņu telpā (jā=1; nē=2)</t>
  </si>
  <si>
    <t>Atsevišķu logu maiņa kāpņu tlepā.  (jā=1; nē=2)</t>
  </si>
  <si>
    <t>Esošo KOPLIETOŠANAS TELPU  logu nomaiņa uz PVC konstrukcijas(atsevķi logi)</t>
  </si>
  <si>
    <t>Siltināt sienas ar vati, vai Putupolistirols ( P=1 vai V=2)</t>
  </si>
  <si>
    <t>Ieejas durvju bloku nomaiņa (jā=1; nē=2)</t>
  </si>
  <si>
    <t>Ieejas durvju bloku nomaiņa (abās ēkas pusēs, dubultas durvis un iekšējās durvis)</t>
  </si>
  <si>
    <t>Uzkopšanas, pabeigšanas palīgdarbu un objketa uzturēšana darbu laikā</t>
  </si>
  <si>
    <t>Apkures sistēmas maiņa (pilnībā ar visiem cauruļvadiem=1; tikai radiatori+regul un skait=2; nemaina=0)</t>
  </si>
  <si>
    <t>LS/Mwh</t>
  </si>
  <si>
    <t>Mw</t>
  </si>
  <si>
    <t>LS gadā</t>
  </si>
  <si>
    <t>Esošā</t>
  </si>
  <si>
    <t>Pēc renovacijas</t>
  </si>
  <si>
    <t>Maksājums par kredītu</t>
  </si>
  <si>
    <t>ERAF līdzf</t>
  </si>
  <si>
    <t>Ls gadā par kredītu</t>
  </si>
  <si>
    <t>Peļņa</t>
  </si>
  <si>
    <t>Samazinājums Mwh</t>
  </si>
  <si>
    <t>Samazinājums Ls/g</t>
  </si>
  <si>
    <t>vidējais dzīvokļa lielums m2</t>
  </si>
  <si>
    <t>Vidējais maksājums par Apsaimiekošanu līdz renovācijai  Ls gadā</t>
  </si>
  <si>
    <t>Vidējais maksājums par Siltumu līdz renovācijai Ls gadā</t>
  </si>
  <si>
    <t>Vidējais maksājums par Siltumu Pēc  renovācijai Ls gadā</t>
  </si>
  <si>
    <t>Ietaupījums Ls/gadā no Energoresursu patēriņa</t>
  </si>
  <si>
    <t>Peļņa uz m2/gadā</t>
  </si>
  <si>
    <t>maksājums  Ls/m2</t>
  </si>
  <si>
    <t>Samazinājums Ls/m2</t>
  </si>
  <si>
    <t>Kredīta maksājums  Ls/m2</t>
  </si>
  <si>
    <t>Vidējais maksājums par Renovāciju tajā skaitā bankas % gadā Ls</t>
  </si>
  <si>
    <t>Ietaupījums uz vidējo ēkas dzīvokli</t>
  </si>
  <si>
    <t>Reālais Ietaupījums Ls/gadā vidējam dzīvoklim.</t>
  </si>
  <si>
    <t>Reālais Ietaupījums Ls/menesī vidējam dzīvoklim.</t>
  </si>
  <si>
    <t>Reālais Ietaupījums Ls/menesī uz m2 dzīvojamās platības</t>
  </si>
  <si>
    <t>Renovācijas izmaksu apkopojums</t>
  </si>
  <si>
    <t>5.1.</t>
  </si>
  <si>
    <t>5.2.</t>
  </si>
  <si>
    <t>7.1.</t>
  </si>
  <si>
    <t>7.2.</t>
  </si>
  <si>
    <t>8.2.</t>
  </si>
  <si>
    <t>Starpailu pildījuma nomaiņa</t>
  </si>
  <si>
    <t>10.</t>
  </si>
  <si>
    <t>Starpailu pildījuma nomaiņa (jā=1; nē=2)</t>
  </si>
  <si>
    <t>Plānotais kredīta ilgums gados (5; 8; 10; 12; 15; 20)</t>
  </si>
  <si>
    <t>Ls/gadā pēc renovācijas, par apkuri</t>
  </si>
  <si>
    <t>LS gadā par apkuri</t>
  </si>
  <si>
    <t>2010 gads</t>
  </si>
  <si>
    <t>2012 gads</t>
  </si>
  <si>
    <t>Jāmaksā vairāk katru mēnesi 1,17 pirmo gadu, ar trešo jau ir peļņa</t>
  </si>
  <si>
    <t>ēkas stāvu skaits (3; 4; 5; 9)</t>
  </si>
  <si>
    <t>Pamatinformācija par daudzstāvu daudzdzīvokļu ēku</t>
  </si>
  <si>
    <t>lānotais ERAF līdzfinasnējums % (50 vai 60)</t>
  </si>
  <si>
    <t>īpatnējais siltumizlietojums Mwh/m2 (ZREA datu bāze)</t>
  </si>
  <si>
    <t>Piezīmes:</t>
  </si>
  <si>
    <t>Skaitļus un informāicju ievadīt tikai šajā sadāļā, pārējās rēķinās automātiski.</t>
  </si>
</sst>
</file>

<file path=xl/styles.xml><?xml version="1.0" encoding="utf-8"?>
<styleSheet xmlns="http://schemas.openxmlformats.org/spreadsheetml/2006/main">
  <numFmts count="5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_-* #,##0.00\ _-;\-* #,##0.00\ _-;_-* &quot;-&quot;??\ _-;_-@_-"/>
    <numFmt numFmtId="195" formatCode="0.00000000"/>
    <numFmt numFmtId="196" formatCode="0.000000000"/>
    <numFmt numFmtId="197" formatCode="_-* #,##0.0_-;\-* #,##0.0_-;_-* &quot;-&quot;??_-;_-@_-"/>
    <numFmt numFmtId="198" formatCode="_-* #,##0.0\ _-;\-* #,##0.0\ _-;_-* &quot;-&quot;??\ _-;_-@_-"/>
    <numFmt numFmtId="199" formatCode="0.0000000000"/>
    <numFmt numFmtId="200" formatCode="0.00000000000"/>
    <numFmt numFmtId="201" formatCode="0.000000000000"/>
    <numFmt numFmtId="202" formatCode="_-* #,##0_-;\-* #,##0_-;_-* &quot;-&quot;??_-;_-@_-"/>
    <numFmt numFmtId="203" formatCode="_-* #,##0.0\ _L_s_-;\-* #,##0.0\ _L_s_-;_-* &quot;-&quot;??\ _L_s_-;_-@_-"/>
    <numFmt numFmtId="204" formatCode="_-* #,##0\ _L_s_-;\-* #,##0\ _L_s_-;_-* &quot;-&quot;??\ _L_s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  <numFmt numFmtId="210" formatCode="#,##0.00\ _l_s"/>
    <numFmt numFmtId="211" formatCode="00&quot;.&quot;"/>
    <numFmt numFmtId="212" formatCode="0.0%"/>
    <numFmt numFmtId="213" formatCode="_-* #,##0.000\ _-;\-* #,##0.000\ _-;_-* &quot;-&quot;??\ _-;_-@_-"/>
    <numFmt numFmtId="214" formatCode="_-* #,##0.000_-;\-* #,##0.000_-;_-* &quot;-&quot;??_-;_-@_-"/>
  </numFmts>
  <fonts count="7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Tahoma"/>
      <family val="2"/>
    </font>
    <font>
      <b/>
      <i/>
      <sz val="16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sz val="9"/>
      <name val="Arial"/>
      <family val="2"/>
    </font>
    <font>
      <b/>
      <u val="single"/>
      <sz val="11"/>
      <color indexed="10"/>
      <name val="Tahoma"/>
      <family val="2"/>
    </font>
    <font>
      <sz val="9"/>
      <name val="Arial Narrow"/>
      <family val="2"/>
    </font>
    <font>
      <b/>
      <i/>
      <sz val="11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u val="single"/>
      <sz val="11"/>
      <name val="Tahoma"/>
      <family val="2"/>
    </font>
    <font>
      <b/>
      <u val="single"/>
      <sz val="10"/>
      <name val="Tahoma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b/>
      <u val="single"/>
      <sz val="10"/>
      <color indexed="10"/>
      <name val="Tahoma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Accounting"/>
      <sz val="12"/>
      <name val="Tahoma"/>
      <family val="2"/>
    </font>
    <font>
      <b/>
      <sz val="11"/>
      <name val="Calibri"/>
      <family val="2"/>
    </font>
    <font>
      <b/>
      <i/>
      <u val="single"/>
      <sz val="16"/>
      <name val="Tahoma"/>
      <family val="2"/>
    </font>
    <font>
      <b/>
      <u val="singleAccounting"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Accounting"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Accounting"/>
      <sz val="10"/>
      <color rgb="FFFF0000"/>
      <name val="Tahoma"/>
      <family val="2"/>
    </font>
    <font>
      <b/>
      <sz val="9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justify"/>
    </xf>
    <xf numFmtId="0" fontId="2" fillId="0" borderId="1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8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2" fontId="19" fillId="0" borderId="14" xfId="0" applyNumberFormat="1" applyFont="1" applyBorder="1" applyAlignment="1">
      <alignment horizontal="center"/>
    </xf>
    <xf numFmtId="187" fontId="19" fillId="0" borderId="15" xfId="42" applyFont="1" applyBorder="1" applyAlignment="1">
      <alignment horizontal="center"/>
    </xf>
    <xf numFmtId="0" fontId="20" fillId="0" borderId="16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18" fillId="0" borderId="18" xfId="0" applyFont="1" applyBorder="1" applyAlignment="1">
      <alignment horizontal="right"/>
    </xf>
    <xf numFmtId="0" fontId="1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19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194" fontId="7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87" fontId="15" fillId="0" borderId="0" xfId="42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43" fontId="2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43" fontId="14" fillId="0" borderId="12" xfId="0" applyNumberFormat="1" applyFont="1" applyFill="1" applyBorder="1" applyAlignment="1">
      <alignment/>
    </xf>
    <xf numFmtId="43" fontId="14" fillId="0" borderId="10" xfId="0" applyNumberFormat="1" applyFont="1" applyFill="1" applyBorder="1" applyAlignment="1">
      <alignment/>
    </xf>
    <xf numFmtId="43" fontId="14" fillId="0" borderId="13" xfId="0" applyNumberFormat="1" applyFont="1" applyFill="1" applyBorder="1" applyAlignment="1">
      <alignment/>
    </xf>
    <xf numFmtId="43" fontId="14" fillId="0" borderId="19" xfId="0" applyNumberFormat="1" applyFont="1" applyFill="1" applyBorder="1" applyAlignment="1">
      <alignment/>
    </xf>
    <xf numFmtId="43" fontId="2" fillId="33" borderId="12" xfId="0" applyNumberFormat="1" applyFont="1" applyFill="1" applyBorder="1" applyAlignment="1">
      <alignment/>
    </xf>
    <xf numFmtId="43" fontId="2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 wrapText="1"/>
    </xf>
    <xf numFmtId="43" fontId="14" fillId="34" borderId="12" xfId="0" applyNumberFormat="1" applyFont="1" applyFill="1" applyBorder="1" applyAlignment="1">
      <alignment/>
    </xf>
    <xf numFmtId="43" fontId="14" fillId="34" borderId="10" xfId="0" applyNumberFormat="1" applyFont="1" applyFill="1" applyBorder="1" applyAlignment="1">
      <alignment/>
    </xf>
    <xf numFmtId="43" fontId="2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7" fillId="34" borderId="17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left" wrapText="1"/>
    </xf>
    <xf numFmtId="194" fontId="28" fillId="0" borderId="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23" fillId="0" borderId="24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87" fontId="0" fillId="0" borderId="19" xfId="42" applyFont="1" applyBorder="1" applyAlignment="1">
      <alignment/>
    </xf>
    <xf numFmtId="43" fontId="0" fillId="0" borderId="0" xfId="0" applyNumberFormat="1" applyAlignment="1">
      <alignment/>
    </xf>
    <xf numFmtId="187" fontId="0" fillId="0" borderId="14" xfId="42" applyFont="1" applyBorder="1" applyAlignment="1">
      <alignment/>
    </xf>
    <xf numFmtId="4" fontId="0" fillId="0" borderId="0" xfId="0" applyNumberFormat="1" applyAlignment="1">
      <alignment/>
    </xf>
    <xf numFmtId="0" fontId="0" fillId="0" borderId="25" xfId="0" applyBorder="1" applyAlignment="1">
      <alignment/>
    </xf>
    <xf numFmtId="187" fontId="0" fillId="0" borderId="10" xfId="42" applyFont="1" applyBorder="1" applyAlignment="1">
      <alignment/>
    </xf>
    <xf numFmtId="187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187" fontId="0" fillId="0" borderId="14" xfId="42" applyFont="1" applyFill="1" applyBorder="1" applyAlignment="1">
      <alignment/>
    </xf>
    <xf numFmtId="187" fontId="0" fillId="36" borderId="14" xfId="42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Alignment="1">
      <alignment/>
    </xf>
    <xf numFmtId="0" fontId="0" fillId="36" borderId="14" xfId="0" applyFill="1" applyBorder="1" applyAlignment="1">
      <alignment/>
    </xf>
    <xf numFmtId="0" fontId="0" fillId="0" borderId="14" xfId="0" applyBorder="1" applyAlignment="1">
      <alignment/>
    </xf>
    <xf numFmtId="0" fontId="0" fillId="36" borderId="19" xfId="0" applyFill="1" applyBorder="1" applyAlignment="1">
      <alignment/>
    </xf>
    <xf numFmtId="187" fontId="26" fillId="0" borderId="19" xfId="42" applyFont="1" applyBorder="1" applyAlignment="1">
      <alignment/>
    </xf>
    <xf numFmtId="0" fontId="26" fillId="37" borderId="0" xfId="0" applyFont="1" applyFill="1" applyBorder="1" applyAlignment="1">
      <alignment/>
    </xf>
    <xf numFmtId="0" fontId="26" fillId="37" borderId="0" xfId="0" applyFont="1" applyFill="1" applyAlignment="1">
      <alignment/>
    </xf>
    <xf numFmtId="43" fontId="26" fillId="37" borderId="0" xfId="0" applyNumberFormat="1" applyFont="1" applyFill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6" fillId="37" borderId="10" xfId="0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2" fillId="13" borderId="10" xfId="0" applyNumberFormat="1" applyFont="1" applyFill="1" applyBorder="1" applyAlignment="1">
      <alignment horizontal="left" wrapText="1"/>
    </xf>
    <xf numFmtId="187" fontId="2" fillId="35" borderId="10" xfId="42" applyFont="1" applyFill="1" applyBorder="1" applyAlignment="1">
      <alignment horizontal="left" wrapText="1"/>
    </xf>
    <xf numFmtId="187" fontId="2" fillId="37" borderId="10" xfId="42" applyFont="1" applyFill="1" applyBorder="1" applyAlignment="1">
      <alignment horizontal="left" wrapText="1"/>
    </xf>
    <xf numFmtId="187" fontId="2" fillId="13" borderId="10" xfId="42" applyFont="1" applyFill="1" applyBorder="1" applyAlignment="1">
      <alignment horizontal="left" wrapText="1"/>
    </xf>
    <xf numFmtId="0" fontId="0" fillId="0" borderId="0" xfId="0" applyFont="1" applyAlignment="1">
      <alignment/>
    </xf>
    <xf numFmtId="187" fontId="71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3" fillId="0" borderId="10" xfId="0" applyNumberFormat="1" applyFont="1" applyFill="1" applyBorder="1" applyAlignment="1">
      <alignment horizontal="left" wrapText="1"/>
    </xf>
    <xf numFmtId="43" fontId="74" fillId="0" borderId="10" xfId="0" applyNumberFormat="1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left" wrapText="1"/>
    </xf>
    <xf numFmtId="43" fontId="26" fillId="38" borderId="10" xfId="0" applyNumberFormat="1" applyFont="1" applyFill="1" applyBorder="1" applyAlignment="1">
      <alignment horizontal="center"/>
    </xf>
    <xf numFmtId="0" fontId="75" fillId="39" borderId="0" xfId="0" applyFont="1" applyFill="1" applyAlignment="1">
      <alignment/>
    </xf>
    <xf numFmtId="43" fontId="75" fillId="39" borderId="0" xfId="0" applyNumberFormat="1" applyFont="1" applyFill="1" applyAlignment="1">
      <alignment/>
    </xf>
    <xf numFmtId="0" fontId="29" fillId="0" borderId="24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/>
    </xf>
    <xf numFmtId="187" fontId="0" fillId="0" borderId="20" xfId="42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187" fontId="26" fillId="0" borderId="19" xfId="42" applyFont="1" applyFill="1" applyBorder="1" applyAlignment="1">
      <alignment/>
    </xf>
    <xf numFmtId="43" fontId="0" fillId="0" borderId="0" xfId="0" applyNumberFormat="1" applyFill="1" applyAlignment="1">
      <alignment/>
    </xf>
    <xf numFmtId="187" fontId="31" fillId="0" borderId="0" xfId="0" applyNumberFormat="1" applyFont="1" applyAlignment="1">
      <alignment/>
    </xf>
    <xf numFmtId="43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187" fontId="1" fillId="0" borderId="14" xfId="42" applyFont="1" applyFill="1" applyBorder="1" applyAlignment="1">
      <alignment horizontal="center"/>
    </xf>
    <xf numFmtId="194" fontId="7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87" fontId="1" fillId="0" borderId="10" xfId="42" applyFont="1" applyFill="1" applyBorder="1" applyAlignment="1">
      <alignment horizontal="center"/>
    </xf>
    <xf numFmtId="194" fontId="7" fillId="0" borderId="10" xfId="0" applyNumberFormat="1" applyFont="1" applyFill="1" applyBorder="1" applyAlignment="1">
      <alignment horizontal="center"/>
    </xf>
    <xf numFmtId="213" fontId="7" fillId="0" borderId="10" xfId="0" applyNumberFormat="1" applyFont="1" applyFill="1" applyBorder="1" applyAlignment="1">
      <alignment horizontal="center"/>
    </xf>
    <xf numFmtId="16" fontId="6" fillId="0" borderId="12" xfId="0" applyNumberFormat="1" applyFont="1" applyFill="1" applyBorder="1" applyAlignment="1">
      <alignment horizontal="center"/>
    </xf>
    <xf numFmtId="194" fontId="7" fillId="0" borderId="10" xfId="0" applyNumberFormat="1" applyFont="1" applyFill="1" applyBorder="1" applyAlignment="1">
      <alignment horizontal="center"/>
    </xf>
    <xf numFmtId="16" fontId="6" fillId="0" borderId="11" xfId="0" applyNumberFormat="1" applyFont="1" applyFill="1" applyBorder="1" applyAlignment="1">
      <alignment horizontal="center"/>
    </xf>
    <xf numFmtId="194" fontId="7" fillId="0" borderId="14" xfId="0" applyNumberFormat="1" applyFont="1" applyFill="1" applyBorder="1" applyAlignment="1">
      <alignment horizontal="center"/>
    </xf>
    <xf numFmtId="194" fontId="6" fillId="0" borderId="15" xfId="0" applyNumberFormat="1" applyFont="1" applyFill="1" applyBorder="1" applyAlignment="1">
      <alignment horizontal="center"/>
    </xf>
    <xf numFmtId="194" fontId="6" fillId="0" borderId="1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/>
    </xf>
    <xf numFmtId="187" fontId="1" fillId="0" borderId="19" xfId="42" applyFont="1" applyFill="1" applyBorder="1" applyAlignment="1">
      <alignment horizontal="center"/>
    </xf>
    <xf numFmtId="194" fontId="7" fillId="0" borderId="19" xfId="0" applyNumberFormat="1" applyFont="1" applyFill="1" applyBorder="1" applyAlignment="1">
      <alignment horizontal="center"/>
    </xf>
    <xf numFmtId="194" fontId="7" fillId="0" borderId="19" xfId="0" applyNumberFormat="1" applyFont="1" applyFill="1" applyBorder="1" applyAlignment="1">
      <alignment horizontal="center"/>
    </xf>
    <xf numFmtId="194" fontId="6" fillId="0" borderId="20" xfId="0" applyNumberFormat="1" applyFont="1" applyFill="1" applyBorder="1" applyAlignment="1">
      <alignment horizontal="center"/>
    </xf>
    <xf numFmtId="187" fontId="1" fillId="0" borderId="0" xfId="42" applyFont="1" applyFill="1" applyBorder="1" applyAlignment="1">
      <alignment horizontal="center"/>
    </xf>
    <xf numFmtId="187" fontId="10" fillId="0" borderId="19" xfId="42" applyFont="1" applyBorder="1" applyAlignment="1">
      <alignment/>
    </xf>
    <xf numFmtId="187" fontId="10" fillId="0" borderId="20" xfId="42" applyFont="1" applyBorder="1" applyAlignment="1">
      <alignment/>
    </xf>
    <xf numFmtId="187" fontId="10" fillId="0" borderId="20" xfId="42" applyFont="1" applyFill="1" applyBorder="1" applyAlignment="1">
      <alignment/>
    </xf>
    <xf numFmtId="43" fontId="10" fillId="0" borderId="0" xfId="0" applyNumberFormat="1" applyFont="1" applyAlignment="1">
      <alignment/>
    </xf>
    <xf numFmtId="43" fontId="10" fillId="0" borderId="0" xfId="0" applyNumberFormat="1" applyFont="1" applyFill="1" applyAlignment="1">
      <alignment/>
    </xf>
    <xf numFmtId="187" fontId="10" fillId="0" borderId="10" xfId="42" applyFont="1" applyFill="1" applyBorder="1" applyAlignment="1">
      <alignment/>
    </xf>
    <xf numFmtId="187" fontId="10" fillId="0" borderId="10" xfId="42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7" fontId="0" fillId="0" borderId="20" xfId="42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7875"/>
          <c:w val="0.7092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kopejais!$B$8</c:f>
              <c:strCache>
                <c:ptCount val="1"/>
                <c:pt idx="0">
                  <c:v>LS gadā par apkuri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kopejais!$D$4:$S$4</c:f>
              <c:numCache/>
            </c:numRef>
          </c:cat>
          <c:val>
            <c:numRef>
              <c:f>'[1]Sheet1'!$D$14:$R$14</c:f>
              <c:numCache>
                <c:ptCount val="15"/>
                <c:pt idx="0">
                  <c:v>18528.8</c:v>
                </c:pt>
                <c:pt idx="1">
                  <c:v>19640.528000000002</c:v>
                </c:pt>
                <c:pt idx="2">
                  <c:v>20818.95968</c:v>
                </c:pt>
                <c:pt idx="3">
                  <c:v>22068.097260800005</c:v>
                </c:pt>
                <c:pt idx="4">
                  <c:v>23392.183096448007</c:v>
                </c:pt>
                <c:pt idx="5">
                  <c:v>24795.71408223489</c:v>
                </c:pt>
                <c:pt idx="6">
                  <c:v>26283.456927168983</c:v>
                </c:pt>
                <c:pt idx="7">
                  <c:v>27860.464342799125</c:v>
                </c:pt>
                <c:pt idx="8">
                  <c:v>29532.09220336708</c:v>
                </c:pt>
                <c:pt idx="9">
                  <c:v>31304.0177355691</c:v>
                </c:pt>
                <c:pt idx="10">
                  <c:v>33182.258799703246</c:v>
                </c:pt>
                <c:pt idx="11">
                  <c:v>35173.19432768544</c:v>
                </c:pt>
                <c:pt idx="12">
                  <c:v>37283.585987346574</c:v>
                </c:pt>
                <c:pt idx="13">
                  <c:v>39520.601146587374</c:v>
                </c:pt>
                <c:pt idx="14">
                  <c:v>41891.83721538261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kopejais!$B$12</c:f>
              <c:strCache>
                <c:ptCount val="1"/>
                <c:pt idx="0">
                  <c:v>Ls/gadā pēc renovācijas, par apkuri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kopejais!$D$4:$S$4</c:f>
              <c:numCache/>
            </c:numRef>
          </c:cat>
          <c:val>
            <c:numRef>
              <c:f>kopejais!$D$12:$S$12</c:f>
              <c:numCache/>
            </c:numRef>
          </c:val>
          <c:smooth val="0"/>
        </c:ser>
        <c:marker val="1"/>
        <c:axId val="7803746"/>
        <c:axId val="3124851"/>
      </c:lineChart>
      <c:catAx>
        <c:axId val="7803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4851"/>
        <c:crosses val="autoZero"/>
        <c:auto val="1"/>
        <c:lblOffset val="100"/>
        <c:tickLblSkip val="1"/>
        <c:noMultiLvlLbl val="0"/>
      </c:catAx>
      <c:valAx>
        <c:axId val="3124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3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367"/>
          <c:w val="0.16625"/>
          <c:h val="0.2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-0.0065"/>
          <c:w val="0.71925"/>
          <c:h val="0.983"/>
        </c:manualLayout>
      </c:layout>
      <c:lineChart>
        <c:grouping val="standard"/>
        <c:varyColors val="0"/>
        <c:ser>
          <c:idx val="0"/>
          <c:order val="0"/>
          <c:tx>
            <c:strRef>
              <c:f>kopejais!$B$6</c:f>
              <c:strCache>
                <c:ptCount val="1"/>
                <c:pt idx="0">
                  <c:v>LS/Mwh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kopejais!$D$4:$S$4</c:f>
              <c:numCache/>
            </c:numRef>
          </c:cat>
          <c:val>
            <c:numRef>
              <c:f>kopejais!$D$6:$P$6</c:f>
              <c:numCache/>
            </c:numRef>
          </c:val>
          <c:smooth val="0"/>
        </c:ser>
        <c:ser>
          <c:idx val="2"/>
          <c:order val="1"/>
          <c:tx>
            <c:strRef>
              <c:f>kopejais!$B$18</c:f>
              <c:strCache>
                <c:ptCount val="1"/>
                <c:pt idx="0">
                  <c:v>Peļņa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kopejais!$D$4:$S$4</c:f>
              <c:numCache/>
            </c:numRef>
          </c:cat>
          <c:val>
            <c:numRef>
              <c:f>kopejais!$D$18:$P$18</c:f>
              <c:numCache/>
            </c:numRef>
          </c:val>
          <c:smooth val="0"/>
        </c:ser>
        <c:marker val="1"/>
        <c:axId val="28123660"/>
        <c:axId val="51786349"/>
      </c:line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23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"/>
          <c:y val="0.431"/>
          <c:w val="0.169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" name="Group 385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" name="Group 389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" name="Group 393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" name="Group 397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" name="Group 401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1" name="Group 405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5" name="Group 409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29" name="Group 413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3" name="Group 417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37" name="Group 421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1" name="Group 425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5" name="Group 429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49" name="Group 433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3" name="Group 437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57" name="Group 441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1" name="Group 445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5" name="Group 449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69" name="Group 453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3" name="Group 457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77" name="Group 461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1" name="Group 465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5" name="Group 469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89" name="Group 473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3" name="Group 477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97" name="Group 481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1" name="Group 485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5" name="Group 489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09" name="Group 493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3" name="Group 497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17" name="Group 501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8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1" name="Group 505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2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5" name="Group 509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6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29" name="Group 513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0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3" name="Group 517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4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37" name="Group 521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8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1" name="Group 525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2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5" name="Group 529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6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49" name="Group 533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0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3" name="Group 537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4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57" name="Group 541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8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1" name="Group 545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2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5" name="Group 549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6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69" name="Group 553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0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3" name="Group 557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4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77" name="Group 561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8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1" name="Group 565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2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5" name="Group 569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6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pSp>
      <xdr:nvGrpSpPr>
        <xdr:cNvPr id="189" name="Group 573"/>
        <xdr:cNvGrpSpPr>
          <a:grpSpLocks/>
        </xdr:cNvGrpSpPr>
      </xdr:nvGrpSpPr>
      <xdr:grpSpPr>
        <a:xfrm>
          <a:off x="4514850" y="16383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0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385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5" name="Group 389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9" name="Group 393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3" name="Group 397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7" name="Group 401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1" name="Group 405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5" name="Group 409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9" name="Group 413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3" name="Group 417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" name="Group 421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1" name="Group 425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5" name="Group 429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" name="Group 433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53" name="Group 437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57" name="Group 441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61" name="Group 445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65" name="Group 449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69" name="Group 453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73" name="Group 457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77" name="Group 461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81" name="Group 465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85" name="Group 469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89" name="Group 473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93" name="Group 477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97" name="Group 481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01" name="Group 485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05" name="Group 489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09" name="Group 493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13" name="Group 497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17" name="Group 501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8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21" name="Group 505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2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25" name="Group 509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6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29" name="Group 513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0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33" name="Group 517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4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37" name="Group 521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8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41" name="Group 525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2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45" name="Group 529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6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49" name="Group 533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0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53" name="Group 537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4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57" name="Group 541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8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61" name="Group 545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2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65" name="Group 549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6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69" name="Group 553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0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73" name="Group 557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4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77" name="Group 561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8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81" name="Group 565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2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85" name="Group 569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6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89" name="Group 573"/>
        <xdr:cNvGrpSpPr>
          <a:grpSpLocks/>
        </xdr:cNvGrpSpPr>
      </xdr:nvGrpSpPr>
      <xdr:grpSpPr>
        <a:xfrm>
          <a:off x="18192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0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142875</xdr:colOff>
      <xdr:row>23</xdr:row>
      <xdr:rowOff>95250</xdr:rowOff>
    </xdr:from>
    <xdr:to>
      <xdr:col>16</xdr:col>
      <xdr:colOff>476250</xdr:colOff>
      <xdr:row>46</xdr:row>
      <xdr:rowOff>38100</xdr:rowOff>
    </xdr:to>
    <xdr:graphicFrame>
      <xdr:nvGraphicFramePr>
        <xdr:cNvPr id="193" name="Chart 3"/>
        <xdr:cNvGraphicFramePr/>
      </xdr:nvGraphicFramePr>
      <xdr:xfrm>
        <a:off x="5057775" y="4019550"/>
        <a:ext cx="46672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23</xdr:row>
      <xdr:rowOff>95250</xdr:rowOff>
    </xdr:from>
    <xdr:to>
      <xdr:col>8</xdr:col>
      <xdr:colOff>619125</xdr:colOff>
      <xdr:row>45</xdr:row>
      <xdr:rowOff>133350</xdr:rowOff>
    </xdr:to>
    <xdr:graphicFrame>
      <xdr:nvGraphicFramePr>
        <xdr:cNvPr id="194" name="Chart 194"/>
        <xdr:cNvGraphicFramePr/>
      </xdr:nvGraphicFramePr>
      <xdr:xfrm>
        <a:off x="95250" y="4019550"/>
        <a:ext cx="48196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ita\AppData\Local\Microsoft\Windows\Temporary%20Internet%20Files\Content.Outlook\XQ5ER1VA\New%20Microsoft%20Office%20Excel%20Work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1">
        <row r="14">
          <cell r="D14">
            <v>18528.8</v>
          </cell>
          <cell r="E14">
            <v>19640.528000000002</v>
          </cell>
          <cell r="F14">
            <v>20818.95968</v>
          </cell>
          <cell r="G14">
            <v>22068.097260800005</v>
          </cell>
          <cell r="H14">
            <v>23392.183096448007</v>
          </cell>
          <cell r="I14">
            <v>24795.71408223489</v>
          </cell>
          <cell r="J14">
            <v>26283.456927168983</v>
          </cell>
          <cell r="K14">
            <v>27860.464342799125</v>
          </cell>
          <cell r="L14">
            <v>29532.09220336708</v>
          </cell>
          <cell r="M14">
            <v>31304.0177355691</v>
          </cell>
          <cell r="N14">
            <v>33182.258799703246</v>
          </cell>
          <cell r="O14">
            <v>35173.19432768544</v>
          </cell>
          <cell r="P14">
            <v>37283.585987346574</v>
          </cell>
          <cell r="Q14">
            <v>39520.601146587374</v>
          </cell>
          <cell r="R14">
            <v>41891.83721538261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12.421875" style="0" customWidth="1"/>
    <col min="2" max="2" width="50.57421875" style="0" customWidth="1"/>
    <col min="3" max="3" width="10.00390625" style="0" customWidth="1"/>
  </cols>
  <sheetData>
    <row r="1" spans="1:3" ht="12.75">
      <c r="A1" s="180" t="s">
        <v>125</v>
      </c>
      <c r="B1" s="180"/>
      <c r="C1" s="180"/>
    </row>
    <row r="2" spans="1:3" ht="12.75">
      <c r="A2" s="180"/>
      <c r="B2" s="180"/>
      <c r="C2" s="180"/>
    </row>
    <row r="3" ht="13.5" thickBot="1"/>
    <row r="4" spans="1:3" ht="12.75">
      <c r="A4" s="176" t="s">
        <v>2</v>
      </c>
      <c r="B4" s="178" t="s">
        <v>53</v>
      </c>
      <c r="C4" s="176" t="s">
        <v>48</v>
      </c>
    </row>
    <row r="5" spans="1:3" ht="13.5" thickBot="1">
      <c r="A5" s="177"/>
      <c r="B5" s="179"/>
      <c r="C5" s="177"/>
    </row>
    <row r="6" spans="1:3" ht="13.5" thickBot="1">
      <c r="A6" s="12"/>
      <c r="B6" s="10"/>
      <c r="C6" s="10"/>
    </row>
    <row r="7" spans="1:3" ht="21" customHeight="1">
      <c r="A7" s="141">
        <v>1</v>
      </c>
      <c r="B7" s="142" t="s">
        <v>124</v>
      </c>
      <c r="C7" s="171"/>
    </row>
    <row r="8" spans="1:3" ht="21" customHeight="1">
      <c r="A8" s="146">
        <v>2</v>
      </c>
      <c r="B8" s="25" t="s">
        <v>45</v>
      </c>
      <c r="C8" s="172"/>
    </row>
    <row r="9" spans="1:3" ht="18" customHeight="1">
      <c r="A9" s="146">
        <v>3</v>
      </c>
      <c r="B9" s="25" t="s">
        <v>59</v>
      </c>
      <c r="C9" s="172"/>
    </row>
    <row r="10" spans="1:3" ht="34.5" customHeight="1">
      <c r="A10" s="146">
        <v>4</v>
      </c>
      <c r="B10" s="25" t="s">
        <v>58</v>
      </c>
      <c r="C10" s="172"/>
    </row>
    <row r="11" spans="1:3" ht="21" customHeight="1">
      <c r="A11" s="146">
        <v>5</v>
      </c>
      <c r="B11" s="25" t="s">
        <v>117</v>
      </c>
      <c r="C11" s="172"/>
    </row>
    <row r="12" spans="1:3" ht="23.25" customHeight="1">
      <c r="A12" s="146">
        <v>6</v>
      </c>
      <c r="B12" s="25" t="s">
        <v>46</v>
      </c>
      <c r="C12" s="172"/>
    </row>
    <row r="13" spans="1:3" ht="12.75">
      <c r="A13" s="146">
        <v>7</v>
      </c>
      <c r="B13" s="25" t="s">
        <v>47</v>
      </c>
      <c r="C13" s="173"/>
    </row>
    <row r="14" spans="1:3" ht="25.5">
      <c r="A14" s="146">
        <v>8</v>
      </c>
      <c r="B14" s="25" t="s">
        <v>79</v>
      </c>
      <c r="C14" s="173"/>
    </row>
    <row r="15" spans="1:3" ht="25.5">
      <c r="A15" s="146">
        <v>10</v>
      </c>
      <c r="B15" s="25" t="s">
        <v>57</v>
      </c>
      <c r="C15" s="173"/>
    </row>
    <row r="16" spans="1:3" ht="12.75">
      <c r="A16" s="146">
        <v>11</v>
      </c>
      <c r="B16" s="25" t="s">
        <v>72</v>
      </c>
      <c r="C16" s="173"/>
    </row>
    <row r="17" spans="1:3" ht="12.75">
      <c r="A17" s="146">
        <v>12</v>
      </c>
      <c r="B17" s="25" t="s">
        <v>76</v>
      </c>
      <c r="C17" s="173"/>
    </row>
    <row r="18" spans="1:3" ht="16.5" customHeight="1">
      <c r="A18" s="146">
        <v>13</v>
      </c>
      <c r="B18" s="25" t="s">
        <v>77</v>
      </c>
      <c r="C18" s="173"/>
    </row>
    <row r="19" spans="1:3" ht="15" customHeight="1">
      <c r="A19" s="146">
        <v>14</v>
      </c>
      <c r="B19" s="25" t="s">
        <v>80</v>
      </c>
      <c r="C19" s="173"/>
    </row>
    <row r="20" spans="1:3" ht="38.25">
      <c r="A20" s="146">
        <v>15</v>
      </c>
      <c r="B20" s="25" t="s">
        <v>83</v>
      </c>
      <c r="C20" s="173"/>
    </row>
    <row r="21" spans="1:3" ht="17.25" customHeight="1">
      <c r="A21" s="146">
        <v>16</v>
      </c>
      <c r="B21" s="140" t="s">
        <v>65</v>
      </c>
      <c r="C21" s="174"/>
    </row>
    <row r="22" spans="1:3" ht="15" customHeight="1">
      <c r="A22" s="146">
        <v>17</v>
      </c>
      <c r="B22" s="140" t="s">
        <v>66</v>
      </c>
      <c r="C22" s="173"/>
    </row>
    <row r="23" spans="1:3" ht="15.75" customHeight="1">
      <c r="A23" s="146">
        <v>18</v>
      </c>
      <c r="B23" s="140" t="s">
        <v>118</v>
      </c>
      <c r="C23" s="174"/>
    </row>
    <row r="24" spans="1:3" ht="15" customHeight="1">
      <c r="A24" s="146">
        <v>19</v>
      </c>
      <c r="B24" s="140" t="s">
        <v>67</v>
      </c>
      <c r="C24" s="174"/>
    </row>
    <row r="25" spans="1:3" ht="18.75" customHeight="1">
      <c r="A25" s="146">
        <v>20</v>
      </c>
      <c r="B25" s="25" t="s">
        <v>68</v>
      </c>
      <c r="C25" s="173"/>
    </row>
    <row r="26" spans="1:3" ht="25.5">
      <c r="A26" s="146">
        <v>21</v>
      </c>
      <c r="B26" s="25" t="s">
        <v>69</v>
      </c>
      <c r="C26" s="173"/>
    </row>
    <row r="27" spans="1:3" ht="29.25" customHeight="1">
      <c r="A27" s="146">
        <v>22</v>
      </c>
      <c r="B27" s="25" t="s">
        <v>70</v>
      </c>
      <c r="C27" s="173"/>
    </row>
    <row r="28" spans="1:3" ht="17.25" customHeight="1">
      <c r="A28" s="146">
        <v>23</v>
      </c>
      <c r="B28" s="25" t="s">
        <v>71</v>
      </c>
      <c r="C28" s="173"/>
    </row>
    <row r="29" spans="1:3" ht="12.75">
      <c r="A29" s="146">
        <v>24</v>
      </c>
      <c r="B29" s="25" t="s">
        <v>126</v>
      </c>
      <c r="C29" s="173"/>
    </row>
    <row r="30" spans="1:3" ht="26.25" thickBot="1">
      <c r="A30" s="156">
        <v>25</v>
      </c>
      <c r="B30" s="157" t="s">
        <v>127</v>
      </c>
      <c r="C30" s="175"/>
    </row>
    <row r="33" ht="12.75">
      <c r="A33" t="s">
        <v>128</v>
      </c>
    </row>
    <row r="34" ht="12.75">
      <c r="A34" t="s">
        <v>129</v>
      </c>
    </row>
  </sheetData>
  <sheetProtection/>
  <mergeCells count="4">
    <mergeCell ref="A4:A5"/>
    <mergeCell ref="B4:B5"/>
    <mergeCell ref="C4:C5"/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4"/>
  <sheetViews>
    <sheetView zoomScalePageLayoutView="0" workbookViewId="0" topLeftCell="A13">
      <selection activeCell="F19" sqref="F19"/>
    </sheetView>
  </sheetViews>
  <sheetFormatPr defaultColWidth="9.140625" defaultRowHeight="12.75" outlineLevelCol="1"/>
  <cols>
    <col min="1" max="1" width="6.8515625" style="2" customWidth="1"/>
    <col min="2" max="2" width="52.140625" style="1" customWidth="1"/>
    <col min="3" max="3" width="8.7109375" style="6" customWidth="1"/>
    <col min="4" max="4" width="11.57421875" style="7" customWidth="1"/>
    <col min="5" max="5" width="11.421875" style="7" customWidth="1"/>
    <col min="6" max="6" width="14.140625" style="7" customWidth="1"/>
    <col min="7" max="7" width="17.00390625" style="1" customWidth="1"/>
    <col min="8" max="8" width="25.28125" style="2" customWidth="1"/>
    <col min="9" max="9" width="12.8515625" style="1" hidden="1" customWidth="1" outlineLevel="1"/>
    <col min="10" max="10" width="9.140625" style="1" hidden="1" customWidth="1" outlineLevel="1"/>
    <col min="11" max="12" width="9.140625" style="2" hidden="1" customWidth="1" outlineLevel="1"/>
    <col min="13" max="13" width="11.28125" style="2" hidden="1" customWidth="1" outlineLevel="1"/>
    <col min="14" max="14" width="9.421875" style="2" hidden="1" customWidth="1" outlineLevel="1"/>
    <col min="15" max="15" width="9.140625" style="2" hidden="1" customWidth="1" outlineLevel="1"/>
    <col min="16" max="16" width="22.28125" style="2" hidden="1" customWidth="1" outlineLevel="1"/>
    <col min="17" max="17" width="9.140625" style="2" hidden="1" customWidth="1" outlineLevel="1"/>
    <col min="18" max="18" width="9.140625" style="2" customWidth="1" collapsed="1"/>
    <col min="19" max="16384" width="9.140625" style="2" customWidth="1"/>
  </cols>
  <sheetData>
    <row r="2" ht="13.5">
      <c r="B2" s="24"/>
    </row>
    <row r="3" spans="1:13" ht="19.5" customHeight="1">
      <c r="A3" s="181" t="s">
        <v>109</v>
      </c>
      <c r="B3" s="181"/>
      <c r="C3" s="181"/>
      <c r="D3" s="181"/>
      <c r="E3" s="181"/>
      <c r="F3" s="181"/>
      <c r="G3" s="181"/>
      <c r="H3" s="17"/>
      <c r="I3" s="17"/>
      <c r="J3" s="17"/>
      <c r="K3" s="17"/>
      <c r="L3" s="17"/>
      <c r="M3" s="17"/>
    </row>
    <row r="4" spans="1:7" ht="12.75">
      <c r="A4" s="181"/>
      <c r="B4" s="181"/>
      <c r="C4" s="181"/>
      <c r="D4" s="181"/>
      <c r="E4" s="181"/>
      <c r="F4" s="181"/>
      <c r="G4" s="181"/>
    </row>
    <row r="6" spans="2:10" s="15" customFormat="1" ht="20.25" thickBot="1">
      <c r="B6" s="17"/>
      <c r="C6" s="17"/>
      <c r="D6" s="17"/>
      <c r="E6" s="17"/>
      <c r="F6" s="17"/>
      <c r="G6" s="17"/>
      <c r="I6" s="18"/>
      <c r="J6" s="18"/>
    </row>
    <row r="7" spans="1:8" s="9" customFormat="1" ht="19.5" customHeight="1">
      <c r="A7" s="176" t="s">
        <v>2</v>
      </c>
      <c r="B7" s="178" t="s">
        <v>1</v>
      </c>
      <c r="C7" s="176" t="s">
        <v>2</v>
      </c>
      <c r="D7" s="182" t="s">
        <v>3</v>
      </c>
      <c r="E7" s="186" t="s">
        <v>13</v>
      </c>
      <c r="F7" s="186" t="s">
        <v>14</v>
      </c>
      <c r="G7" s="184" t="s">
        <v>15</v>
      </c>
      <c r="H7" s="52"/>
    </row>
    <row r="8" spans="1:8" s="9" customFormat="1" ht="18" customHeight="1" thickBot="1">
      <c r="A8" s="177"/>
      <c r="B8" s="179"/>
      <c r="C8" s="177"/>
      <c r="D8" s="183"/>
      <c r="E8" s="187"/>
      <c r="F8" s="187"/>
      <c r="G8" s="185"/>
      <c r="H8" s="52"/>
    </row>
    <row r="9" spans="2:6" s="12" customFormat="1" ht="15" customHeight="1" thickBot="1">
      <c r="B9" s="10"/>
      <c r="C9" s="10"/>
      <c r="D9" s="11"/>
      <c r="E9" s="11"/>
      <c r="F9" s="11"/>
    </row>
    <row r="10" spans="1:7" s="12" customFormat="1" ht="18" customHeight="1">
      <c r="A10" s="141">
        <v>1</v>
      </c>
      <c r="B10" s="142" t="s">
        <v>8</v>
      </c>
      <c r="C10" s="143" t="s">
        <v>7</v>
      </c>
      <c r="D10" s="144">
        <v>1</v>
      </c>
      <c r="E10" s="145">
        <v>400</v>
      </c>
      <c r="F10" s="145">
        <f>E10*D10</f>
        <v>400</v>
      </c>
      <c r="G10" s="154">
        <f>F10</f>
        <v>400</v>
      </c>
    </row>
    <row r="11" spans="1:7" s="12" customFormat="1" ht="14.25" customHeight="1">
      <c r="A11" s="146">
        <v>2</v>
      </c>
      <c r="B11" s="25" t="s">
        <v>9</v>
      </c>
      <c r="C11" s="13" t="s">
        <v>7</v>
      </c>
      <c r="D11" s="147">
        <v>1</v>
      </c>
      <c r="E11" s="148">
        <v>400</v>
      </c>
      <c r="F11" s="148">
        <f aca="true" t="shared" si="0" ref="F11:F16">E11*D11</f>
        <v>400</v>
      </c>
      <c r="G11" s="155">
        <f aca="true" t="shared" si="1" ref="G11:G27">F11</f>
        <v>400</v>
      </c>
    </row>
    <row r="12" spans="1:7" s="12" customFormat="1" ht="15" customHeight="1">
      <c r="A12" s="146">
        <v>3</v>
      </c>
      <c r="B12" s="25" t="s">
        <v>11</v>
      </c>
      <c r="C12" s="13" t="s">
        <v>7</v>
      </c>
      <c r="D12" s="147">
        <v>1</v>
      </c>
      <c r="E12" s="149">
        <v>80</v>
      </c>
      <c r="F12" s="148">
        <f>E12*D12</f>
        <v>80</v>
      </c>
      <c r="G12" s="155">
        <f>F12</f>
        <v>80</v>
      </c>
    </row>
    <row r="13" spans="1:7" s="12" customFormat="1" ht="28.5" customHeight="1">
      <c r="A13" s="146">
        <v>4</v>
      </c>
      <c r="B13" s="25" t="s">
        <v>12</v>
      </c>
      <c r="C13" s="13" t="s">
        <v>7</v>
      </c>
      <c r="D13" s="147">
        <f>IF(dATI!C13=2,1,0)</f>
        <v>0</v>
      </c>
      <c r="E13" s="148">
        <v>450</v>
      </c>
      <c r="F13" s="148">
        <f t="shared" si="0"/>
        <v>0</v>
      </c>
      <c r="G13" s="155">
        <f t="shared" si="1"/>
        <v>0</v>
      </c>
    </row>
    <row r="14" spans="1:7" s="12" customFormat="1" ht="15" customHeight="1">
      <c r="A14" s="150" t="s">
        <v>110</v>
      </c>
      <c r="B14" s="25" t="s">
        <v>17</v>
      </c>
      <c r="C14" s="13" t="s">
        <v>0</v>
      </c>
      <c r="D14" s="147">
        <f>IF(dATI!C13=1,IF(dATI!C8&gt;1000,dATI!C8,0),0)</f>
        <v>0</v>
      </c>
      <c r="E14" s="149">
        <v>0.5</v>
      </c>
      <c r="F14" s="148">
        <f>E14*D14</f>
        <v>0</v>
      </c>
      <c r="G14" s="155">
        <f t="shared" si="1"/>
        <v>0</v>
      </c>
    </row>
    <row r="15" spans="1:7" s="12" customFormat="1" ht="15" customHeight="1">
      <c r="A15" s="146" t="s">
        <v>111</v>
      </c>
      <c r="B15" s="25" t="s">
        <v>16</v>
      </c>
      <c r="C15" s="13" t="s">
        <v>0</v>
      </c>
      <c r="D15" s="147">
        <f>IF(dATI!C13=1,IF(dATI!C8&lt;1000,dATI!C8,0),0)</f>
        <v>0</v>
      </c>
      <c r="E15" s="149">
        <v>0.85</v>
      </c>
      <c r="F15" s="148">
        <f>E15*D15</f>
        <v>0</v>
      </c>
      <c r="G15" s="155">
        <f t="shared" si="1"/>
        <v>0</v>
      </c>
    </row>
    <row r="16" spans="1:7" s="16" customFormat="1" ht="18" customHeight="1" thickBot="1">
      <c r="A16" s="156">
        <v>6</v>
      </c>
      <c r="B16" s="157" t="s">
        <v>10</v>
      </c>
      <c r="C16" s="158" t="s">
        <v>7</v>
      </c>
      <c r="D16" s="159">
        <v>1</v>
      </c>
      <c r="E16" s="160">
        <v>150</v>
      </c>
      <c r="F16" s="161">
        <f t="shared" si="0"/>
        <v>150</v>
      </c>
      <c r="G16" s="162">
        <f t="shared" si="1"/>
        <v>150</v>
      </c>
    </row>
    <row r="17" spans="1:16" s="16" customFormat="1" ht="25.5" customHeight="1" thickBot="1">
      <c r="A17" s="44"/>
      <c r="B17" s="45"/>
      <c r="C17" s="4"/>
      <c r="D17" s="163"/>
      <c r="E17" s="43"/>
      <c r="F17" s="46"/>
      <c r="G17" s="80">
        <f>SUM(G10:G16)</f>
        <v>1030</v>
      </c>
      <c r="I17" s="62"/>
      <c r="J17" s="63">
        <v>1.8</v>
      </c>
      <c r="K17" s="56">
        <v>2.6</v>
      </c>
      <c r="L17" s="56">
        <v>3.4</v>
      </c>
      <c r="M17" s="56">
        <v>4.2</v>
      </c>
      <c r="N17" s="56">
        <v>7.4</v>
      </c>
      <c r="O17" s="57"/>
      <c r="P17" s="58" t="s">
        <v>27</v>
      </c>
    </row>
    <row r="18" spans="1:16" s="16" customFormat="1" ht="29.25" customHeight="1">
      <c r="A18" s="152" t="s">
        <v>112</v>
      </c>
      <c r="B18" s="142" t="s">
        <v>19</v>
      </c>
      <c r="C18" s="143" t="s">
        <v>0</v>
      </c>
      <c r="D18" s="144">
        <f>IF(dATI!C12=0,dATI!C8,0)</f>
        <v>0</v>
      </c>
      <c r="E18" s="153">
        <f>IF(dATI!C7=0,I19,IF(dATI!C7=2,izmaksas!J19,IF(dATI!C7=3,izmaksas!K19,IF(dATI!C7=4,izmaksas!L19,IF(dATI!C7=5,izmaksas!M19,IF(dATI!C7=9,izmaksas!N19,0))))))</f>
        <v>33.58205605170387</v>
      </c>
      <c r="F18" s="145">
        <f aca="true" t="shared" si="2" ref="F18:F23">E18*D18</f>
        <v>0</v>
      </c>
      <c r="G18" s="154">
        <f t="shared" si="1"/>
        <v>0</v>
      </c>
      <c r="I18" s="64">
        <v>1</v>
      </c>
      <c r="J18" s="65">
        <v>2</v>
      </c>
      <c r="K18" s="50">
        <v>3</v>
      </c>
      <c r="L18" s="50">
        <v>4</v>
      </c>
      <c r="M18" s="50">
        <v>5</v>
      </c>
      <c r="N18" s="50">
        <v>9</v>
      </c>
      <c r="O18" s="51" t="s">
        <v>18</v>
      </c>
      <c r="P18" s="49"/>
    </row>
    <row r="19" spans="1:16" s="16" customFormat="1" ht="37.5" customHeight="1">
      <c r="A19" s="146" t="s">
        <v>113</v>
      </c>
      <c r="B19" s="25" t="s">
        <v>29</v>
      </c>
      <c r="C19" s="13" t="s">
        <v>0</v>
      </c>
      <c r="D19" s="147">
        <f>IF(dATI!C12=1,dATI!C8,0)</f>
        <v>0</v>
      </c>
      <c r="E19" s="151">
        <f>IF(dATI!$C$7=1,I20,IF(dATI!$C$7=2,izmaksas!J20,IF(dATI!$C$7=3,izmaksas!K20,IF(dATI!$C$7=4,izmaksas!L20,IF(dATI!$C$7=5,izmaksas!M20,IF(dATI!$C$7=9,izmaksas!N20,0))))))</f>
        <v>0</v>
      </c>
      <c r="F19" s="148">
        <f t="shared" si="2"/>
        <v>0</v>
      </c>
      <c r="G19" s="155">
        <f t="shared" si="1"/>
        <v>0</v>
      </c>
      <c r="I19" s="66">
        <v>33.58205605170387</v>
      </c>
      <c r="J19" s="67">
        <v>18.65669780650215</v>
      </c>
      <c r="K19" s="48">
        <v>13.992523354876614</v>
      </c>
      <c r="L19" s="48">
        <v>10.49439251615746</v>
      </c>
      <c r="M19" s="48">
        <v>8.4</v>
      </c>
      <c r="N19" s="48">
        <v>4.305391801500496</v>
      </c>
      <c r="O19" s="47" t="s">
        <v>31</v>
      </c>
      <c r="P19" s="49" t="s">
        <v>21</v>
      </c>
    </row>
    <row r="20" spans="1:16" s="16" customFormat="1" ht="29.25" customHeight="1">
      <c r="A20" s="146" t="s">
        <v>20</v>
      </c>
      <c r="B20" s="25" t="s">
        <v>22</v>
      </c>
      <c r="C20" s="13" t="s">
        <v>0</v>
      </c>
      <c r="D20" s="147">
        <f>IF(dATI!C15=2,dATI!C8,0)</f>
        <v>0</v>
      </c>
      <c r="E20" s="148">
        <f>IF(dATI!$C$7=1,I21,IF(dATI!$C$7=2,izmaksas!J21,IF(dATI!$C$7=3,izmaksas!K21,IF(dATI!$C$7=4,izmaksas!L21,IF(dATI!$C$7=5,izmaksas!M21,IF(dATI!$C$7=9,izmaksas!N21,0))))))</f>
        <v>0</v>
      </c>
      <c r="F20" s="148">
        <f>E20*D20</f>
        <v>0</v>
      </c>
      <c r="G20" s="155">
        <f t="shared" si="1"/>
        <v>0</v>
      </c>
      <c r="I20" s="66">
        <v>18.05</v>
      </c>
      <c r="J20" s="67">
        <f>I20/J17</f>
        <v>10.027777777777779</v>
      </c>
      <c r="K20" s="48">
        <f>I20/K17</f>
        <v>6.9423076923076925</v>
      </c>
      <c r="L20" s="48">
        <f>I20/L17</f>
        <v>5.308823529411765</v>
      </c>
      <c r="M20" s="48">
        <f>I20/M17</f>
        <v>4.2976190476190474</v>
      </c>
      <c r="N20" s="48">
        <f>I20/N17</f>
        <v>2.439189189189189</v>
      </c>
      <c r="O20" s="47" t="s">
        <v>31</v>
      </c>
      <c r="P20" s="49" t="s">
        <v>26</v>
      </c>
    </row>
    <row r="21" spans="1:16" s="16" customFormat="1" ht="34.5" customHeight="1">
      <c r="A21" s="146" t="s">
        <v>114</v>
      </c>
      <c r="B21" s="25" t="s">
        <v>28</v>
      </c>
      <c r="C21" s="13" t="s">
        <v>0</v>
      </c>
      <c r="D21" s="147">
        <f>IF(dATI!C15=1,dATI!C8,0)</f>
        <v>0</v>
      </c>
      <c r="E21" s="148">
        <f>IF(dATI!$C$7=1,I22,IF(dATI!$C$7=2,izmaksas!J22,IF(dATI!$C$7=3,izmaksas!K22,IF(dATI!$C$7=4,izmaksas!L22,IF(dATI!$C$7=5,izmaksas!M22,IF(dATI!$C$7=9,izmaksas!N22,0))))))</f>
        <v>0</v>
      </c>
      <c r="F21" s="148">
        <f>E21*D21</f>
        <v>0</v>
      </c>
      <c r="G21" s="155">
        <f t="shared" si="1"/>
        <v>0</v>
      </c>
      <c r="I21" s="66">
        <v>14.2</v>
      </c>
      <c r="J21" s="67">
        <f>I21/1.8</f>
        <v>7.888888888888888</v>
      </c>
      <c r="K21" s="48">
        <f>I21/2.6</f>
        <v>5.461538461538461</v>
      </c>
      <c r="L21" s="48">
        <f>I21/3.4</f>
        <v>4.176470588235294</v>
      </c>
      <c r="M21" s="48">
        <f>I21/4.2</f>
        <v>3.3809523809523805</v>
      </c>
      <c r="N21" s="48">
        <f>I21/7.4</f>
        <v>1.9189189189189186</v>
      </c>
      <c r="O21" s="47" t="s">
        <v>31</v>
      </c>
      <c r="P21" s="59" t="s">
        <v>25</v>
      </c>
    </row>
    <row r="22" spans="1:16" s="16" customFormat="1" ht="31.5" customHeight="1">
      <c r="A22" s="150" t="s">
        <v>23</v>
      </c>
      <c r="B22" s="25" t="s">
        <v>36</v>
      </c>
      <c r="C22" s="13" t="s">
        <v>0</v>
      </c>
      <c r="D22" s="147">
        <f>IF(dATI!C14=2,dATI!C8,0)</f>
        <v>0</v>
      </c>
      <c r="E22" s="148">
        <f>IF(dATI!$C$7=1,I26,IF(dATI!$C$7=2,izmaksas!J26,IF(dATI!$C$7=3,izmaksas!K26,IF(dATI!$C$7=4,izmaksas!L26,IF(dATI!$C$7=5,izmaksas!M26,IF(dATI!$C$7=9,izmaksas!N26,0))))))</f>
        <v>0</v>
      </c>
      <c r="F22" s="148">
        <f t="shared" si="2"/>
        <v>0</v>
      </c>
      <c r="G22" s="155">
        <f t="shared" si="1"/>
        <v>0</v>
      </c>
      <c r="I22" s="66">
        <v>11.5</v>
      </c>
      <c r="J22" s="67">
        <f>$I$22/J17</f>
        <v>6.388888888888888</v>
      </c>
      <c r="K22" s="48">
        <f>$I$22/K17</f>
        <v>4.423076923076923</v>
      </c>
      <c r="L22" s="48">
        <f>$I$22/L17</f>
        <v>3.3823529411764706</v>
      </c>
      <c r="M22" s="48">
        <f>$I$22/M17</f>
        <v>2.738095238095238</v>
      </c>
      <c r="N22" s="48">
        <f>$I$22/N17</f>
        <v>1.554054054054054</v>
      </c>
      <c r="O22" s="47" t="s">
        <v>31</v>
      </c>
      <c r="P22" s="59" t="s">
        <v>32</v>
      </c>
    </row>
    <row r="23" spans="1:16" s="16" customFormat="1" ht="31.5" customHeight="1">
      <c r="A23" s="146" t="s">
        <v>24</v>
      </c>
      <c r="B23" s="25" t="s">
        <v>34</v>
      </c>
      <c r="C23" s="13" t="s">
        <v>0</v>
      </c>
      <c r="D23" s="147">
        <f>IF(dATI!C14=1,dATI!C8,0)</f>
        <v>0</v>
      </c>
      <c r="E23" s="148">
        <f>IF(dATI!$C$7=1,I25,IF(dATI!$C$7=2,izmaksas!J25,IF(dATI!$C$7=3,izmaksas!K25,IF(dATI!$C$7=4,izmaksas!L25,IF(dATI!$C$7=5,izmaksas!M25,IF(dATI!$C$7=9,izmaksas!N25,0))))))</f>
        <v>0</v>
      </c>
      <c r="F23" s="148">
        <f t="shared" si="2"/>
        <v>0</v>
      </c>
      <c r="G23" s="155">
        <f t="shared" si="1"/>
        <v>0</v>
      </c>
      <c r="I23" s="73">
        <v>13.2</v>
      </c>
      <c r="J23" s="74">
        <f>I23/1.15</f>
        <v>11.478260869565217</v>
      </c>
      <c r="K23" s="75">
        <f>I23/1.3</f>
        <v>10.153846153846153</v>
      </c>
      <c r="L23" s="75">
        <f>$I$23/1.45</f>
        <v>9.10344827586207</v>
      </c>
      <c r="M23" s="75">
        <f>I23/1.6</f>
        <v>8.249999999999998</v>
      </c>
      <c r="N23" s="75">
        <f>I23/2</f>
        <v>6.6</v>
      </c>
      <c r="O23" s="76" t="s">
        <v>31</v>
      </c>
      <c r="P23" s="77" t="s">
        <v>33</v>
      </c>
    </row>
    <row r="24" spans="1:16" s="16" customFormat="1" ht="19.5" customHeight="1">
      <c r="A24" s="146" t="s">
        <v>116</v>
      </c>
      <c r="B24" s="25" t="s">
        <v>115</v>
      </c>
      <c r="C24" s="13" t="s">
        <v>0</v>
      </c>
      <c r="D24" s="147">
        <f>IF(dATI!C11=1,dATI!C8,0)</f>
        <v>0</v>
      </c>
      <c r="E24" s="148">
        <v>1.3</v>
      </c>
      <c r="F24" s="148">
        <f>E24*D24</f>
        <v>0</v>
      </c>
      <c r="G24" s="155">
        <f>F24</f>
        <v>0</v>
      </c>
      <c r="I24" s="73">
        <v>13.2</v>
      </c>
      <c r="J24" s="74">
        <f>I24/1.15</f>
        <v>11.478260869565217</v>
      </c>
      <c r="K24" s="75">
        <f>I24/1.3</f>
        <v>10.153846153846153</v>
      </c>
      <c r="L24" s="75">
        <f>$I$23/1.45</f>
        <v>9.10344827586207</v>
      </c>
      <c r="M24" s="75">
        <f>I24/1.6</f>
        <v>8.249999999999998</v>
      </c>
      <c r="N24" s="75">
        <f>I24/2</f>
        <v>6.6</v>
      </c>
      <c r="O24" s="76" t="s">
        <v>31</v>
      </c>
      <c r="P24" s="77" t="s">
        <v>33</v>
      </c>
    </row>
    <row r="25" spans="1:16" s="16" customFormat="1" ht="31.5" customHeight="1">
      <c r="A25" s="150" t="s">
        <v>38</v>
      </c>
      <c r="B25" s="25" t="s">
        <v>40</v>
      </c>
      <c r="C25" s="13" t="s">
        <v>0</v>
      </c>
      <c r="D25" s="147">
        <f>dATI!C8*dATI!C10</f>
        <v>0</v>
      </c>
      <c r="E25" s="148">
        <f>IF(dATI!$C$7=1,I27,IF(dATI!$C$7=2,izmaksas!J27,IF(dATI!$C$7=3,izmaksas!K27,IF(dATI!$C$7=4,izmaksas!L27,IF(dATI!$C$7=5,izmaksas!M27,IF(dATI!$C$7=9,izmaksas!N27,0))))))</f>
        <v>0</v>
      </c>
      <c r="F25" s="148">
        <f aca="true" t="shared" si="3" ref="F25:F32">E25*D25</f>
        <v>0</v>
      </c>
      <c r="G25" s="155">
        <f t="shared" si="1"/>
        <v>0</v>
      </c>
      <c r="I25" s="66">
        <v>16.2</v>
      </c>
      <c r="J25" s="67">
        <f>I25/1.15</f>
        <v>14.08695652173913</v>
      </c>
      <c r="K25" s="48">
        <f>I25/1.3</f>
        <v>12.46153846153846</v>
      </c>
      <c r="L25" s="48">
        <f>$I$23/1.45</f>
        <v>9.10344827586207</v>
      </c>
      <c r="M25" s="48">
        <f>I25/1.6</f>
        <v>10.124999999999998</v>
      </c>
      <c r="N25" s="48">
        <f>I25/2</f>
        <v>8.1</v>
      </c>
      <c r="O25" s="47" t="s">
        <v>31</v>
      </c>
      <c r="P25" s="59" t="s">
        <v>33</v>
      </c>
    </row>
    <row r="26" spans="1:16" s="16" customFormat="1" ht="31.5" customHeight="1">
      <c r="A26" s="146" t="s">
        <v>39</v>
      </c>
      <c r="B26" s="25" t="s">
        <v>74</v>
      </c>
      <c r="C26" s="13" t="s">
        <v>0</v>
      </c>
      <c r="D26" s="147">
        <f>IF(dATI!C17=1,dATI!C8,0)</f>
        <v>0</v>
      </c>
      <c r="E26" s="151">
        <f>N29*dATI!C9</f>
        <v>0</v>
      </c>
      <c r="F26" s="148">
        <f t="shared" si="3"/>
        <v>0</v>
      </c>
      <c r="G26" s="155">
        <f t="shared" si="1"/>
        <v>0</v>
      </c>
      <c r="I26" s="66">
        <v>25.15</v>
      </c>
      <c r="J26" s="67">
        <f>I26/1.15</f>
        <v>21.869565217391305</v>
      </c>
      <c r="K26" s="48">
        <f>I26/1.3</f>
        <v>19.346153846153843</v>
      </c>
      <c r="L26" s="48">
        <f>$I$23/1.45</f>
        <v>9.10344827586207</v>
      </c>
      <c r="M26" s="48">
        <f>I26/1.6</f>
        <v>15.718749999999998</v>
      </c>
      <c r="N26" s="48">
        <f>I26/2</f>
        <v>12.575</v>
      </c>
      <c r="O26" s="47" t="s">
        <v>31</v>
      </c>
      <c r="P26" s="59" t="s">
        <v>37</v>
      </c>
    </row>
    <row r="27" spans="1:16" s="16" customFormat="1" ht="30.75" customHeight="1" thickBot="1">
      <c r="A27" s="146" t="s">
        <v>39</v>
      </c>
      <c r="B27" s="25" t="s">
        <v>78</v>
      </c>
      <c r="C27" s="13" t="s">
        <v>0</v>
      </c>
      <c r="D27" s="147">
        <f>IF(dATI!C18=1,dATI!C8,0)</f>
        <v>0</v>
      </c>
      <c r="E27" s="151">
        <f>N30*dATI!C10</f>
        <v>0</v>
      </c>
      <c r="F27" s="148">
        <f t="shared" si="3"/>
        <v>0</v>
      </c>
      <c r="G27" s="155">
        <f t="shared" si="1"/>
        <v>0</v>
      </c>
      <c r="I27" s="68">
        <v>15.3</v>
      </c>
      <c r="J27" s="69">
        <v>15.3</v>
      </c>
      <c r="K27" s="60">
        <v>15.3</v>
      </c>
      <c r="L27" s="60">
        <v>15.3</v>
      </c>
      <c r="M27" s="60">
        <v>15.3</v>
      </c>
      <c r="N27" s="60">
        <v>15.3</v>
      </c>
      <c r="O27" s="47" t="s">
        <v>31</v>
      </c>
      <c r="P27" s="61" t="s">
        <v>35</v>
      </c>
    </row>
    <row r="28" spans="1:16" s="16" customFormat="1" ht="19.5" customHeight="1">
      <c r="A28" s="146" t="s">
        <v>51</v>
      </c>
      <c r="B28" s="25" t="s">
        <v>50</v>
      </c>
      <c r="C28" s="13" t="s">
        <v>0</v>
      </c>
      <c r="D28" s="147">
        <f>IF(dATI!C16=1,dATI!C8,0)</f>
        <v>0</v>
      </c>
      <c r="E28" s="151">
        <f>0.8*dATI!C9</f>
        <v>0</v>
      </c>
      <c r="F28" s="148">
        <f t="shared" si="3"/>
        <v>0</v>
      </c>
      <c r="G28" s="155">
        <f>F28</f>
        <v>0</v>
      </c>
      <c r="I28" s="71">
        <v>0.8</v>
      </c>
      <c r="J28" s="71">
        <v>0.8</v>
      </c>
      <c r="K28" s="71">
        <v>0.8</v>
      </c>
      <c r="L28" s="71">
        <v>0.8</v>
      </c>
      <c r="M28" s="71">
        <v>0.8</v>
      </c>
      <c r="N28" s="71">
        <v>0.8</v>
      </c>
      <c r="O28" s="47" t="s">
        <v>31</v>
      </c>
      <c r="P28" s="72" t="s">
        <v>52</v>
      </c>
    </row>
    <row r="29" spans="1:16" s="16" customFormat="1" ht="27" customHeight="1">
      <c r="A29" s="150" t="s">
        <v>60</v>
      </c>
      <c r="B29" s="25" t="s">
        <v>81</v>
      </c>
      <c r="C29" s="13" t="s">
        <v>0</v>
      </c>
      <c r="D29" s="147">
        <f>IF(dATI!C19=1,dATI!C8,0)</f>
        <v>0</v>
      </c>
      <c r="E29" s="151">
        <f>IF(dATI!$C$7=1,I30,IF(dATI!$C$7=2,izmaksas!J30,IF(dATI!$C$7=3,izmaksas!K30,IF(dATI!$C$7=4,izmaksas!L30,IF(dATI!$C$7=5,izmaksas!M30,IF(dATI!$C$7=9,izmaksas!N30,0))))))</f>
        <v>0</v>
      </c>
      <c r="F29" s="148">
        <f t="shared" si="3"/>
        <v>0</v>
      </c>
      <c r="G29" s="155">
        <f>F29</f>
        <v>0</v>
      </c>
      <c r="I29" s="70">
        <v>2.6</v>
      </c>
      <c r="J29" s="70">
        <v>2.6</v>
      </c>
      <c r="K29" s="70">
        <v>2.6</v>
      </c>
      <c r="L29" s="70">
        <v>2.6</v>
      </c>
      <c r="M29" s="70">
        <v>2.6</v>
      </c>
      <c r="N29" s="70">
        <v>2.6</v>
      </c>
      <c r="O29" s="47" t="s">
        <v>31</v>
      </c>
      <c r="P29" s="59" t="s">
        <v>49</v>
      </c>
    </row>
    <row r="30" spans="1:16" s="16" customFormat="1" ht="28.5" customHeight="1">
      <c r="A30" s="146" t="s">
        <v>61</v>
      </c>
      <c r="B30" s="25" t="s">
        <v>43</v>
      </c>
      <c r="C30" s="13" t="s">
        <v>0</v>
      </c>
      <c r="D30" s="147">
        <f>IF(dATI!C20=1,dATI!C8,0)</f>
        <v>0</v>
      </c>
      <c r="E30" s="151">
        <f>N31</f>
        <v>13.26</v>
      </c>
      <c r="F30" s="148">
        <f t="shared" si="3"/>
        <v>0</v>
      </c>
      <c r="G30" s="155">
        <f>F30</f>
        <v>0</v>
      </c>
      <c r="I30" s="66">
        <v>2.24</v>
      </c>
      <c r="J30" s="67">
        <v>2.11</v>
      </c>
      <c r="K30" s="48">
        <v>1.98</v>
      </c>
      <c r="L30" s="48">
        <v>1.85</v>
      </c>
      <c r="M30" s="48">
        <v>1.72</v>
      </c>
      <c r="N30" s="48">
        <v>1.2</v>
      </c>
      <c r="O30" s="47" t="s">
        <v>31</v>
      </c>
      <c r="P30" s="59" t="s">
        <v>73</v>
      </c>
    </row>
    <row r="31" spans="1:16" s="16" customFormat="1" ht="28.5" customHeight="1">
      <c r="A31" s="146" t="s">
        <v>62</v>
      </c>
      <c r="B31" s="25" t="s">
        <v>44</v>
      </c>
      <c r="C31" s="13" t="s">
        <v>0</v>
      </c>
      <c r="D31" s="147">
        <f>IF(dATI!C20=2,dATI!C8,0)</f>
        <v>0</v>
      </c>
      <c r="E31" s="151">
        <f>M32</f>
        <v>10.24</v>
      </c>
      <c r="F31" s="148">
        <f t="shared" si="3"/>
        <v>0</v>
      </c>
      <c r="G31" s="155">
        <f>F31</f>
        <v>0</v>
      </c>
      <c r="I31" s="67">
        <v>13.26</v>
      </c>
      <c r="J31" s="67">
        <v>13.26</v>
      </c>
      <c r="K31" s="48">
        <v>13.26</v>
      </c>
      <c r="L31" s="48">
        <v>13.26</v>
      </c>
      <c r="M31" s="48">
        <v>13.26</v>
      </c>
      <c r="N31" s="48">
        <v>13.26</v>
      </c>
      <c r="O31" s="48">
        <v>13.26</v>
      </c>
      <c r="P31" s="59" t="s">
        <v>41</v>
      </c>
    </row>
    <row r="32" spans="1:16" s="16" customFormat="1" ht="29.25" customHeight="1" thickBot="1">
      <c r="A32" s="156" t="s">
        <v>63</v>
      </c>
      <c r="B32" s="157" t="s">
        <v>82</v>
      </c>
      <c r="C32" s="158" t="s">
        <v>0</v>
      </c>
      <c r="D32" s="159">
        <f>dATI!C8</f>
        <v>0</v>
      </c>
      <c r="E32" s="160">
        <v>2.62</v>
      </c>
      <c r="F32" s="161">
        <f t="shared" si="3"/>
        <v>0</v>
      </c>
      <c r="G32" s="162">
        <f>F32</f>
        <v>0</v>
      </c>
      <c r="I32" s="67">
        <v>9.24</v>
      </c>
      <c r="J32" s="67">
        <v>9.24</v>
      </c>
      <c r="K32" s="48">
        <v>9.24</v>
      </c>
      <c r="L32" s="48">
        <v>9.24</v>
      </c>
      <c r="M32" s="48">
        <v>10.24</v>
      </c>
      <c r="N32" s="48">
        <v>9.24</v>
      </c>
      <c r="O32" s="48">
        <v>9.24</v>
      </c>
      <c r="P32" s="59" t="s">
        <v>42</v>
      </c>
    </row>
    <row r="33" spans="7:16" s="16" customFormat="1" ht="29.25" customHeight="1" thickBot="1">
      <c r="G33" s="80">
        <f>SUM(G18:G32)</f>
        <v>0</v>
      </c>
      <c r="I33" s="70">
        <v>1.24</v>
      </c>
      <c r="J33" s="70">
        <v>1.24</v>
      </c>
      <c r="K33" s="70">
        <v>1.24</v>
      </c>
      <c r="L33" s="70">
        <v>1.24</v>
      </c>
      <c r="M33" s="70">
        <v>1.24</v>
      </c>
      <c r="N33" s="70">
        <v>1.24</v>
      </c>
      <c r="O33" s="47" t="s">
        <v>31</v>
      </c>
      <c r="P33" s="59" t="s">
        <v>75</v>
      </c>
    </row>
    <row r="34" spans="1:7" s="16" customFormat="1" ht="19.5" customHeight="1">
      <c r="A34" s="141">
        <v>17</v>
      </c>
      <c r="B34" s="142" t="s">
        <v>54</v>
      </c>
      <c r="C34" s="143" t="s">
        <v>64</v>
      </c>
      <c r="D34" s="144">
        <v>1.5</v>
      </c>
      <c r="E34" s="153">
        <f>G33*0.01</f>
        <v>0</v>
      </c>
      <c r="F34" s="145">
        <f>E34*D34</f>
        <v>0</v>
      </c>
      <c r="G34" s="154">
        <f>F34</f>
        <v>0</v>
      </c>
    </row>
    <row r="35" spans="1:7" s="16" customFormat="1" ht="20.25" customHeight="1">
      <c r="A35" s="146">
        <v>18</v>
      </c>
      <c r="B35" s="25" t="s">
        <v>55</v>
      </c>
      <c r="C35" s="13" t="s">
        <v>0</v>
      </c>
      <c r="D35" s="147">
        <v>1</v>
      </c>
      <c r="E35" s="151">
        <f>G33*0.005</f>
        <v>0</v>
      </c>
      <c r="F35" s="148">
        <f>E35*D35</f>
        <v>0</v>
      </c>
      <c r="G35" s="155">
        <f>F35</f>
        <v>0</v>
      </c>
    </row>
    <row r="36" spans="1:7" s="16" customFormat="1" ht="20.25" customHeight="1" thickBot="1">
      <c r="A36" s="156">
        <v>19</v>
      </c>
      <c r="B36" s="157" t="s">
        <v>56</v>
      </c>
      <c r="C36" s="158" t="s">
        <v>64</v>
      </c>
      <c r="D36" s="159">
        <v>5</v>
      </c>
      <c r="E36" s="160">
        <f>G33*0.01</f>
        <v>0</v>
      </c>
      <c r="F36" s="161">
        <f>E36*D36</f>
        <v>0</v>
      </c>
      <c r="G36" s="162">
        <f>F36</f>
        <v>0</v>
      </c>
    </row>
    <row r="37" spans="1:7" s="16" customFormat="1" ht="28.5" customHeight="1">
      <c r="A37" s="44"/>
      <c r="B37" s="45"/>
      <c r="C37" s="4"/>
      <c r="D37" s="3"/>
      <c r="E37" s="43"/>
      <c r="F37" s="43"/>
      <c r="G37" s="80">
        <f>SUM(G34:G36)</f>
        <v>0</v>
      </c>
    </row>
    <row r="38" spans="1:7" ht="12.75">
      <c r="A38" s="44"/>
      <c r="B38" s="45"/>
      <c r="C38" s="4"/>
      <c r="D38" s="3"/>
      <c r="E38" s="43"/>
      <c r="F38" s="43"/>
      <c r="G38" s="46"/>
    </row>
    <row r="39" spans="1:8" s="5" customFormat="1" ht="13.5" thickBot="1">
      <c r="A39" s="2"/>
      <c r="B39" s="8"/>
      <c r="C39" s="4"/>
      <c r="D39" s="4"/>
      <c r="E39" s="2"/>
      <c r="F39" s="1"/>
      <c r="G39" s="14"/>
      <c r="H39" s="53"/>
    </row>
    <row r="40" spans="1:8" s="19" customFormat="1" ht="18" customHeight="1">
      <c r="A40" s="26"/>
      <c r="B40" s="29" t="s">
        <v>5</v>
      </c>
      <c r="C40" s="30"/>
      <c r="D40" s="30"/>
      <c r="E40" s="31"/>
      <c r="F40" s="31">
        <f>SUM(F10:F37)</f>
        <v>1030</v>
      </c>
      <c r="G40" s="32">
        <f>G37+G33+G17</f>
        <v>1030</v>
      </c>
      <c r="H40" s="54"/>
    </row>
    <row r="41" spans="1:8" s="19" customFormat="1" ht="17.25" customHeight="1">
      <c r="A41" s="27"/>
      <c r="B41" s="33" t="s">
        <v>4</v>
      </c>
      <c r="C41" s="34"/>
      <c r="D41" s="35"/>
      <c r="E41" s="36"/>
      <c r="F41" s="36"/>
      <c r="G41" s="37">
        <f>G40*0.21</f>
        <v>216.29999999999998</v>
      </c>
      <c r="H41" s="55"/>
    </row>
    <row r="42" spans="1:8" s="19" customFormat="1" ht="21" customHeight="1" thickBot="1">
      <c r="A42" s="28"/>
      <c r="B42" s="38" t="s">
        <v>6</v>
      </c>
      <c r="C42" s="39"/>
      <c r="D42" s="40"/>
      <c r="E42" s="41"/>
      <c r="F42" s="41"/>
      <c r="G42" s="42">
        <f>G41+G40</f>
        <v>1246.3</v>
      </c>
      <c r="H42" s="55"/>
    </row>
    <row r="43" spans="1:7" ht="14.25">
      <c r="A43" s="19"/>
      <c r="B43" s="20"/>
      <c r="C43" s="21"/>
      <c r="D43" s="22"/>
      <c r="E43" s="3"/>
      <c r="F43" s="3"/>
      <c r="G43" s="23"/>
    </row>
    <row r="44" spans="2:7" ht="15" thickBot="1">
      <c r="B44" s="38" t="s">
        <v>30</v>
      </c>
      <c r="C44" s="39"/>
      <c r="D44" s="40"/>
      <c r="E44" s="41"/>
      <c r="F44" s="41"/>
      <c r="G44" s="42" t="e">
        <f>G40/dATI!C8</f>
        <v>#DIV/0!</v>
      </c>
    </row>
  </sheetData>
  <sheetProtection/>
  <mergeCells count="8">
    <mergeCell ref="A3:G4"/>
    <mergeCell ref="A7:A8"/>
    <mergeCell ref="B7:B8"/>
    <mergeCell ref="C7:C8"/>
    <mergeCell ref="D7:D8"/>
    <mergeCell ref="G7:G8"/>
    <mergeCell ref="E7:E8"/>
    <mergeCell ref="F7:F8"/>
  </mergeCells>
  <printOptions/>
  <pageMargins left="0.3937007874015748" right="0.11811023622047245" top="0.35433070866141736" bottom="0.43307086614173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32"/>
  <sheetViews>
    <sheetView zoomScalePageLayoutView="0" workbookViewId="0" topLeftCell="A1">
      <selection activeCell="T25" sqref="T25"/>
    </sheetView>
  </sheetViews>
  <sheetFormatPr defaultColWidth="9.140625" defaultRowHeight="12.75" outlineLevelCol="1"/>
  <cols>
    <col min="1" max="1" width="8.140625" style="0" customWidth="1"/>
    <col min="2" max="2" width="19.140625" style="0" customWidth="1"/>
    <col min="3" max="3" width="8.421875" style="0" hidden="1" customWidth="1" outlineLevel="1"/>
    <col min="4" max="4" width="10.28125" style="0" hidden="1" customWidth="1" outlineLevel="1"/>
    <col min="5" max="5" width="9.28125" style="0" customWidth="1" collapsed="1"/>
    <col min="6" max="19" width="9.28125" style="0" customWidth="1"/>
    <col min="20" max="20" width="12.57421875" style="0" customWidth="1"/>
    <col min="21" max="24" width="11.140625" style="0" customWidth="1"/>
    <col min="25" max="26" width="16.57421875" style="0" customWidth="1"/>
  </cols>
  <sheetData>
    <row r="3" spans="5:24" ht="13.5" thickBot="1"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</row>
    <row r="4" spans="2:24" ht="15.75" thickBot="1">
      <c r="B4" s="81"/>
      <c r="C4" s="89"/>
      <c r="D4" s="82">
        <v>2009</v>
      </c>
      <c r="E4" s="82">
        <v>2010</v>
      </c>
      <c r="F4" s="82">
        <v>2011</v>
      </c>
      <c r="G4" s="82">
        <v>2012</v>
      </c>
      <c r="H4" s="82">
        <v>2013</v>
      </c>
      <c r="I4" s="82">
        <v>2014</v>
      </c>
      <c r="J4" s="82">
        <v>2015</v>
      </c>
      <c r="K4" s="82">
        <v>2016</v>
      </c>
      <c r="L4" s="82">
        <v>2017</v>
      </c>
      <c r="M4" s="82">
        <v>2018</v>
      </c>
      <c r="N4" s="82">
        <v>2019</v>
      </c>
      <c r="O4" s="82">
        <v>2020</v>
      </c>
      <c r="P4" s="82">
        <v>2021</v>
      </c>
      <c r="Q4" s="128">
        <v>2022</v>
      </c>
      <c r="R4" s="128">
        <v>2023</v>
      </c>
      <c r="S4" s="129">
        <v>2024</v>
      </c>
      <c r="T4" s="129">
        <v>2025</v>
      </c>
      <c r="U4" s="129">
        <v>2026</v>
      </c>
      <c r="V4" s="129">
        <v>2027</v>
      </c>
      <c r="W4" s="129">
        <v>2028</v>
      </c>
      <c r="X4" s="129">
        <v>2029</v>
      </c>
    </row>
    <row r="5" spans="17:24" ht="13.5" thickBot="1">
      <c r="Q5" s="130"/>
      <c r="R5" s="130"/>
      <c r="S5" s="130"/>
      <c r="T5" s="130"/>
      <c r="U5" s="130"/>
      <c r="V5" s="130"/>
      <c r="W5" s="130"/>
      <c r="X5" s="130"/>
    </row>
    <row r="6" spans="1:24" ht="12.75">
      <c r="A6" s="188" t="s">
        <v>87</v>
      </c>
      <c r="B6" s="105" t="s">
        <v>84</v>
      </c>
      <c r="C6" s="94">
        <f>dATI!C22</f>
        <v>0</v>
      </c>
      <c r="D6" s="93">
        <f>C6</f>
        <v>0</v>
      </c>
      <c r="E6" s="87">
        <f>D6*dATI!$C$27%+D6</f>
        <v>0</v>
      </c>
      <c r="F6" s="87">
        <f>E6*dATI!$C$27%+E6</f>
        <v>0</v>
      </c>
      <c r="G6" s="87">
        <f>F6*dATI!$C$27%+F6</f>
        <v>0</v>
      </c>
      <c r="H6" s="87">
        <f>G6*dATI!$C$27%+G6</f>
        <v>0</v>
      </c>
      <c r="I6" s="87">
        <f>H6*dATI!$C$27%+H6</f>
        <v>0</v>
      </c>
      <c r="J6" s="87">
        <f>IF(dATI!C23&gt;5,(I6*dATI!$C$27%+I6),0)</f>
        <v>0</v>
      </c>
      <c r="K6" s="87">
        <f>J6*dATI!$C$27%+J6</f>
        <v>0</v>
      </c>
      <c r="L6" s="87">
        <f>K6*dATI!$C$27%+K6</f>
        <v>0</v>
      </c>
      <c r="M6" s="87">
        <f>IF(dATI!C23&gt;8,(L6*dATI!$C$27%+L6),0)</f>
        <v>0</v>
      </c>
      <c r="N6" s="87">
        <f>M6*dATI!$C$27%+M6</f>
        <v>0</v>
      </c>
      <c r="O6" s="87">
        <f>IF(dATI!C23&gt;10,(N6*dATI!$C$27%+N6),0)</f>
        <v>0</v>
      </c>
      <c r="P6" s="87">
        <f>O6*dATI!$C$27%+O6</f>
        <v>0</v>
      </c>
      <c r="Q6" s="93">
        <f>IF(dATI!C23&gt;12,(P6*dATI!$C$27%+P6),0)</f>
        <v>0</v>
      </c>
      <c r="R6" s="93">
        <f>Q6*dATI!$C$27%+Q6</f>
        <v>0</v>
      </c>
      <c r="S6" s="93">
        <f>R6*dATI!$C$27%+R6</f>
        <v>0</v>
      </c>
      <c r="T6" s="93">
        <f>IF(dATI!C23&gt;15,(S6*dATI!$C$27%+S6),0)</f>
        <v>0</v>
      </c>
      <c r="U6" s="93">
        <f>T6*dATI!$C$27%+T6</f>
        <v>0</v>
      </c>
      <c r="V6" s="93">
        <f>U6*dATI!$C$27%+U6</f>
        <v>0</v>
      </c>
      <c r="W6" s="93">
        <f>V6*dATI!$C$27%+V6</f>
        <v>0</v>
      </c>
      <c r="X6" s="93">
        <f>W6*dATI!$C$27%+W6</f>
        <v>0</v>
      </c>
    </row>
    <row r="7" spans="1:24" ht="12.75">
      <c r="A7" s="188"/>
      <c r="B7" s="106" t="s">
        <v>85</v>
      </c>
      <c r="C7" s="95">
        <f>dATI!C21</f>
        <v>0</v>
      </c>
      <c r="D7" s="92">
        <f>C7</f>
        <v>0</v>
      </c>
      <c r="E7" s="83">
        <f>D7</f>
        <v>0</v>
      </c>
      <c r="F7" s="83">
        <f aca="true" t="shared" si="0" ref="F7:N7">E7</f>
        <v>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  <c r="K7" s="83">
        <f t="shared" si="0"/>
        <v>0</v>
      </c>
      <c r="L7" s="83">
        <f t="shared" si="0"/>
        <v>0</v>
      </c>
      <c r="M7" s="83">
        <f t="shared" si="0"/>
        <v>0</v>
      </c>
      <c r="N7" s="84">
        <f t="shared" si="0"/>
        <v>0</v>
      </c>
      <c r="O7" s="84">
        <f aca="true" t="shared" si="1" ref="O7:X7">N7</f>
        <v>0</v>
      </c>
      <c r="P7" s="84">
        <f t="shared" si="1"/>
        <v>0</v>
      </c>
      <c r="Q7" s="131">
        <f t="shared" si="1"/>
        <v>0</v>
      </c>
      <c r="R7" s="131">
        <f t="shared" si="1"/>
        <v>0</v>
      </c>
      <c r="S7" s="131">
        <f t="shared" si="1"/>
        <v>0</v>
      </c>
      <c r="T7" s="131">
        <f t="shared" si="1"/>
        <v>0</v>
      </c>
      <c r="U7" s="131">
        <f t="shared" si="1"/>
        <v>0</v>
      </c>
      <c r="V7" s="131">
        <f t="shared" si="1"/>
        <v>0</v>
      </c>
      <c r="W7" s="131">
        <f t="shared" si="1"/>
        <v>0</v>
      </c>
      <c r="X7" s="131">
        <f t="shared" si="1"/>
        <v>0</v>
      </c>
    </row>
    <row r="8" spans="1:24" ht="13.5" thickBot="1">
      <c r="A8" s="188"/>
      <c r="B8" s="107" t="s">
        <v>120</v>
      </c>
      <c r="C8" s="96"/>
      <c r="D8" s="85"/>
      <c r="E8" s="164">
        <f aca="true" t="shared" si="2" ref="E8:N8">E7*E6</f>
        <v>0</v>
      </c>
      <c r="F8" s="164">
        <f t="shared" si="2"/>
        <v>0</v>
      </c>
      <c r="G8" s="164">
        <f t="shared" si="2"/>
        <v>0</v>
      </c>
      <c r="H8" s="164">
        <f t="shared" si="2"/>
        <v>0</v>
      </c>
      <c r="I8" s="164">
        <f t="shared" si="2"/>
        <v>0</v>
      </c>
      <c r="J8" s="164">
        <f t="shared" si="2"/>
        <v>0</v>
      </c>
      <c r="K8" s="164">
        <f t="shared" si="2"/>
        <v>0</v>
      </c>
      <c r="L8" s="164">
        <f t="shared" si="2"/>
        <v>0</v>
      </c>
      <c r="M8" s="164">
        <f t="shared" si="2"/>
        <v>0</v>
      </c>
      <c r="N8" s="165">
        <f t="shared" si="2"/>
        <v>0</v>
      </c>
      <c r="O8" s="165">
        <f aca="true" t="shared" si="3" ref="O8:X8">O7*O6</f>
        <v>0</v>
      </c>
      <c r="P8" s="165">
        <f t="shared" si="3"/>
        <v>0</v>
      </c>
      <c r="Q8" s="166">
        <f t="shared" si="3"/>
        <v>0</v>
      </c>
      <c r="R8" s="166">
        <f t="shared" si="3"/>
        <v>0</v>
      </c>
      <c r="S8" s="166">
        <f t="shared" si="3"/>
        <v>0</v>
      </c>
      <c r="T8" s="132">
        <f t="shared" si="3"/>
        <v>0</v>
      </c>
      <c r="U8" s="132">
        <f t="shared" si="3"/>
        <v>0</v>
      </c>
      <c r="V8" s="132">
        <f t="shared" si="3"/>
        <v>0</v>
      </c>
      <c r="W8" s="132">
        <f t="shared" si="3"/>
        <v>0</v>
      </c>
      <c r="X8" s="132">
        <f t="shared" si="3"/>
        <v>0</v>
      </c>
    </row>
    <row r="9" spans="2:24" ht="13.5" thickBot="1">
      <c r="B9" s="108"/>
      <c r="C9" s="97"/>
      <c r="Q9" s="133"/>
      <c r="R9" s="133"/>
      <c r="S9" s="133"/>
      <c r="T9" s="133"/>
      <c r="U9" s="133"/>
      <c r="V9" s="133"/>
      <c r="W9" s="133"/>
      <c r="X9" s="133"/>
    </row>
    <row r="10" spans="1:24" ht="12.75">
      <c r="A10" s="189" t="s">
        <v>88</v>
      </c>
      <c r="B10" s="105" t="s">
        <v>93</v>
      </c>
      <c r="C10" s="98">
        <f>dATI!C24%</f>
        <v>0</v>
      </c>
      <c r="D10" s="99"/>
      <c r="E10" s="99">
        <f aca="true" t="shared" si="4" ref="E10:P10">E7*$C$10</f>
        <v>0</v>
      </c>
      <c r="F10" s="99">
        <f t="shared" si="4"/>
        <v>0</v>
      </c>
      <c r="G10" s="99">
        <f t="shared" si="4"/>
        <v>0</v>
      </c>
      <c r="H10" s="99">
        <f t="shared" si="4"/>
        <v>0</v>
      </c>
      <c r="I10" s="99">
        <f t="shared" si="4"/>
        <v>0</v>
      </c>
      <c r="J10" s="99">
        <f t="shared" si="4"/>
        <v>0</v>
      </c>
      <c r="K10" s="99">
        <f t="shared" si="4"/>
        <v>0</v>
      </c>
      <c r="L10" s="99">
        <f t="shared" si="4"/>
        <v>0</v>
      </c>
      <c r="M10" s="99">
        <f t="shared" si="4"/>
        <v>0</v>
      </c>
      <c r="N10" s="99">
        <f t="shared" si="4"/>
        <v>0</v>
      </c>
      <c r="O10" s="99">
        <f t="shared" si="4"/>
        <v>0</v>
      </c>
      <c r="P10" s="99">
        <f t="shared" si="4"/>
        <v>0</v>
      </c>
      <c r="Q10" s="134">
        <f aca="true" t="shared" si="5" ref="Q10:X10">Q7*$C$10</f>
        <v>0</v>
      </c>
      <c r="R10" s="134">
        <f t="shared" si="5"/>
        <v>0</v>
      </c>
      <c r="S10" s="134">
        <f t="shared" si="5"/>
        <v>0</v>
      </c>
      <c r="T10" s="134">
        <f t="shared" si="5"/>
        <v>0</v>
      </c>
      <c r="U10" s="134">
        <f t="shared" si="5"/>
        <v>0</v>
      </c>
      <c r="V10" s="134">
        <f t="shared" si="5"/>
        <v>0</v>
      </c>
      <c r="W10" s="134">
        <f t="shared" si="5"/>
        <v>0</v>
      </c>
      <c r="X10" s="134">
        <f t="shared" si="5"/>
        <v>0</v>
      </c>
    </row>
    <row r="11" spans="1:24" ht="13.5" thickBot="1">
      <c r="A11" s="189"/>
      <c r="B11" s="107" t="s">
        <v>94</v>
      </c>
      <c r="C11" s="100"/>
      <c r="D11" s="101">
        <f>D10*D6</f>
        <v>0</v>
      </c>
      <c r="E11" s="164">
        <f>E10*E6</f>
        <v>0</v>
      </c>
      <c r="F11" s="164">
        <f aca="true" t="shared" si="6" ref="F11:P11">F10*F6</f>
        <v>0</v>
      </c>
      <c r="G11" s="164">
        <f t="shared" si="6"/>
        <v>0</v>
      </c>
      <c r="H11" s="164">
        <f t="shared" si="6"/>
        <v>0</v>
      </c>
      <c r="I11" s="164">
        <f t="shared" si="6"/>
        <v>0</v>
      </c>
      <c r="J11" s="164">
        <f t="shared" si="6"/>
        <v>0</v>
      </c>
      <c r="K11" s="164">
        <f t="shared" si="6"/>
        <v>0</v>
      </c>
      <c r="L11" s="164">
        <f t="shared" si="6"/>
        <v>0</v>
      </c>
      <c r="M11" s="164">
        <f t="shared" si="6"/>
        <v>0</v>
      </c>
      <c r="N11" s="165">
        <f t="shared" si="6"/>
        <v>0</v>
      </c>
      <c r="O11" s="165">
        <f t="shared" si="6"/>
        <v>0</v>
      </c>
      <c r="P11" s="165">
        <f t="shared" si="6"/>
        <v>0</v>
      </c>
      <c r="Q11" s="166">
        <f aca="true" t="shared" si="7" ref="Q11:X11">Q10*Q6</f>
        <v>0</v>
      </c>
      <c r="R11" s="166">
        <f t="shared" si="7"/>
        <v>0</v>
      </c>
      <c r="S11" s="166">
        <f t="shared" si="7"/>
        <v>0</v>
      </c>
      <c r="T11" s="135">
        <f t="shared" si="7"/>
        <v>0</v>
      </c>
      <c r="U11" s="135">
        <f t="shared" si="7"/>
        <v>0</v>
      </c>
      <c r="V11" s="135">
        <f t="shared" si="7"/>
        <v>0</v>
      </c>
      <c r="W11" s="135">
        <f t="shared" si="7"/>
        <v>0</v>
      </c>
      <c r="X11" s="135">
        <f t="shared" si="7"/>
        <v>0</v>
      </c>
    </row>
    <row r="12" spans="2:24" ht="12.75">
      <c r="B12" s="108" t="s">
        <v>119</v>
      </c>
      <c r="C12" s="97"/>
      <c r="D12" s="86">
        <f>D8-D11</f>
        <v>0</v>
      </c>
      <c r="E12" s="167">
        <f aca="true" t="shared" si="8" ref="E12:S12">E8-E11</f>
        <v>0</v>
      </c>
      <c r="F12" s="167">
        <f t="shared" si="8"/>
        <v>0</v>
      </c>
      <c r="G12" s="167">
        <f t="shared" si="8"/>
        <v>0</v>
      </c>
      <c r="H12" s="167">
        <f t="shared" si="8"/>
        <v>0</v>
      </c>
      <c r="I12" s="167">
        <f t="shared" si="8"/>
        <v>0</v>
      </c>
      <c r="J12" s="167">
        <f t="shared" si="8"/>
        <v>0</v>
      </c>
      <c r="K12" s="167">
        <f t="shared" si="8"/>
        <v>0</v>
      </c>
      <c r="L12" s="167">
        <f t="shared" si="8"/>
        <v>0</v>
      </c>
      <c r="M12" s="167">
        <f t="shared" si="8"/>
        <v>0</v>
      </c>
      <c r="N12" s="167">
        <f t="shared" si="8"/>
        <v>0</v>
      </c>
      <c r="O12" s="167">
        <f t="shared" si="8"/>
        <v>0</v>
      </c>
      <c r="P12" s="167">
        <f t="shared" si="8"/>
        <v>0</v>
      </c>
      <c r="Q12" s="168">
        <f t="shared" si="8"/>
        <v>0</v>
      </c>
      <c r="R12" s="168">
        <f t="shared" si="8"/>
        <v>0</v>
      </c>
      <c r="S12" s="168">
        <f t="shared" si="8"/>
        <v>0</v>
      </c>
      <c r="T12" s="136">
        <f>T8-T11</f>
        <v>0</v>
      </c>
      <c r="U12" s="136">
        <f>U8-U11</f>
        <v>0</v>
      </c>
      <c r="V12" s="136">
        <f>V8-V11</f>
        <v>0</v>
      </c>
      <c r="W12" s="136">
        <f>W8-W11</f>
        <v>0</v>
      </c>
      <c r="X12" s="136">
        <f>X8-X11</f>
        <v>0</v>
      </c>
    </row>
    <row r="13" spans="2:24" ht="12.75">
      <c r="B13" s="108"/>
      <c r="C13" s="97"/>
      <c r="Q13" s="130"/>
      <c r="R13" s="130"/>
      <c r="S13" s="130"/>
      <c r="T13" s="130"/>
      <c r="U13" s="130"/>
      <c r="V13" s="130"/>
      <c r="W13" s="130"/>
      <c r="X13" s="130"/>
    </row>
    <row r="14" spans="2:24" ht="12.75">
      <c r="B14" s="108"/>
      <c r="C14" s="97"/>
      <c r="Q14" s="130"/>
      <c r="R14" s="130"/>
      <c r="S14" s="130"/>
      <c r="T14" s="130"/>
      <c r="U14" s="130"/>
      <c r="V14" s="130"/>
      <c r="W14" s="130"/>
      <c r="X14" s="130"/>
    </row>
    <row r="15" spans="1:25" ht="15">
      <c r="A15" s="189" t="s">
        <v>89</v>
      </c>
      <c r="B15" s="109" t="s">
        <v>91</v>
      </c>
      <c r="C15" s="97">
        <f>IF(dATI!C23=5,0.23522,IF(dATI!C23=8,0.15989,IF(dATI!C23=10,0.1350755,IF(dATI!C23=12,0.118729,IF(dATI!C23=15,0.102669,IF(dATI!C23=20,0.08717,0))))))</f>
        <v>0</v>
      </c>
      <c r="D15" s="91"/>
      <c r="E15" s="169">
        <f>izmaksas!$G$42*$C$15</f>
        <v>0</v>
      </c>
      <c r="F15" s="170">
        <f aca="true" t="shared" si="9" ref="F15:P15">E15</f>
        <v>0</v>
      </c>
      <c r="G15" s="170">
        <f t="shared" si="9"/>
        <v>0</v>
      </c>
      <c r="H15" s="170">
        <f t="shared" si="9"/>
        <v>0</v>
      </c>
      <c r="I15" s="170">
        <f t="shared" si="9"/>
        <v>0</v>
      </c>
      <c r="J15" s="170">
        <f>IF(dATI!C23&gt;5,I15,0)</f>
        <v>0</v>
      </c>
      <c r="K15" s="170">
        <f t="shared" si="9"/>
        <v>0</v>
      </c>
      <c r="L15" s="170">
        <f t="shared" si="9"/>
        <v>0</v>
      </c>
      <c r="M15" s="170">
        <f>IF(dATI!C23&gt;8,L15,0)</f>
        <v>0</v>
      </c>
      <c r="N15" s="170">
        <f t="shared" si="9"/>
        <v>0</v>
      </c>
      <c r="O15" s="170">
        <f>IF(dATI!C23&gt;10,N15,0)</f>
        <v>0</v>
      </c>
      <c r="P15" s="170">
        <f t="shared" si="9"/>
        <v>0</v>
      </c>
      <c r="Q15" s="170">
        <f>IF(dATI!C23&gt;12,P15,0)</f>
        <v>0</v>
      </c>
      <c r="R15" s="170">
        <f>Q15</f>
        <v>0</v>
      </c>
      <c r="S15" s="170">
        <f>R15</f>
        <v>0</v>
      </c>
      <c r="T15" s="90">
        <f>IF(dATI!C23&gt;15,S15,0)</f>
        <v>0</v>
      </c>
      <c r="U15" s="90">
        <f aca="true" t="shared" si="10" ref="U15:X16">T15</f>
        <v>0</v>
      </c>
      <c r="V15" s="90">
        <f t="shared" si="10"/>
        <v>0</v>
      </c>
      <c r="W15" s="90">
        <f t="shared" si="10"/>
        <v>0</v>
      </c>
      <c r="X15" s="90">
        <f t="shared" si="10"/>
        <v>0</v>
      </c>
      <c r="Y15" s="137">
        <f>SUM(E15:X15)</f>
        <v>0</v>
      </c>
    </row>
    <row r="16" spans="1:25" ht="15">
      <c r="A16" s="189"/>
      <c r="B16" s="109" t="s">
        <v>90</v>
      </c>
      <c r="C16" s="95"/>
      <c r="D16" s="92">
        <f>dATI!C29%</f>
        <v>0</v>
      </c>
      <c r="E16" s="83">
        <f>D16</f>
        <v>0</v>
      </c>
      <c r="F16" s="83">
        <f aca="true" t="shared" si="11" ref="F16:N16">E16</f>
        <v>0</v>
      </c>
      <c r="G16" s="83">
        <f t="shared" si="11"/>
        <v>0</v>
      </c>
      <c r="H16" s="83">
        <f t="shared" si="11"/>
        <v>0</v>
      </c>
      <c r="I16" s="83">
        <f t="shared" si="11"/>
        <v>0</v>
      </c>
      <c r="J16" s="83">
        <f t="shared" si="11"/>
        <v>0</v>
      </c>
      <c r="K16" s="83">
        <f t="shared" si="11"/>
        <v>0</v>
      </c>
      <c r="L16" s="83">
        <f t="shared" si="11"/>
        <v>0</v>
      </c>
      <c r="M16" s="83">
        <f t="shared" si="11"/>
        <v>0</v>
      </c>
      <c r="N16" s="83">
        <f t="shared" si="11"/>
        <v>0</v>
      </c>
      <c r="O16" s="83">
        <f>N16</f>
        <v>0</v>
      </c>
      <c r="P16" s="83">
        <f>O16</f>
        <v>0</v>
      </c>
      <c r="Q16" s="83">
        <f>P16</f>
        <v>0</v>
      </c>
      <c r="R16" s="83">
        <f>Q16</f>
        <v>0</v>
      </c>
      <c r="S16" s="83">
        <f>R16</f>
        <v>0</v>
      </c>
      <c r="T16" s="83">
        <f>S16</f>
        <v>0</v>
      </c>
      <c r="U16" s="83">
        <f t="shared" si="10"/>
        <v>0</v>
      </c>
      <c r="V16" s="83">
        <f t="shared" si="10"/>
        <v>0</v>
      </c>
      <c r="W16" s="83">
        <f t="shared" si="10"/>
        <v>0</v>
      </c>
      <c r="X16" s="83">
        <f t="shared" si="10"/>
        <v>0</v>
      </c>
      <c r="Y16" s="137"/>
    </row>
    <row r="17" spans="1:25" ht="15">
      <c r="A17" s="189"/>
      <c r="B17" s="109" t="s">
        <v>86</v>
      </c>
      <c r="C17" s="95"/>
      <c r="D17" s="90"/>
      <c r="E17" s="170">
        <f aca="true" t="shared" si="12" ref="E17:P17">E16*E15</f>
        <v>0</v>
      </c>
      <c r="F17" s="170">
        <f t="shared" si="12"/>
        <v>0</v>
      </c>
      <c r="G17" s="170">
        <f t="shared" si="12"/>
        <v>0</v>
      </c>
      <c r="H17" s="170">
        <f t="shared" si="12"/>
        <v>0</v>
      </c>
      <c r="I17" s="170">
        <f t="shared" si="12"/>
        <v>0</v>
      </c>
      <c r="J17" s="170">
        <f t="shared" si="12"/>
        <v>0</v>
      </c>
      <c r="K17" s="170">
        <f t="shared" si="12"/>
        <v>0</v>
      </c>
      <c r="L17" s="170">
        <f t="shared" si="12"/>
        <v>0</v>
      </c>
      <c r="M17" s="170">
        <f t="shared" si="12"/>
        <v>0</v>
      </c>
      <c r="N17" s="170">
        <f t="shared" si="12"/>
        <v>0</v>
      </c>
      <c r="O17" s="170">
        <f t="shared" si="12"/>
        <v>0</v>
      </c>
      <c r="P17" s="170">
        <f t="shared" si="12"/>
        <v>0</v>
      </c>
      <c r="Q17" s="170">
        <f aca="true" t="shared" si="13" ref="Q17:X17">Q16*Q15</f>
        <v>0</v>
      </c>
      <c r="R17" s="170">
        <f t="shared" si="13"/>
        <v>0</v>
      </c>
      <c r="S17" s="170">
        <f t="shared" si="13"/>
        <v>0</v>
      </c>
      <c r="T17" s="90">
        <f t="shared" si="13"/>
        <v>0</v>
      </c>
      <c r="U17" s="90">
        <f t="shared" si="13"/>
        <v>0</v>
      </c>
      <c r="V17" s="90">
        <f t="shared" si="13"/>
        <v>0</v>
      </c>
      <c r="W17" s="90">
        <f t="shared" si="13"/>
        <v>0</v>
      </c>
      <c r="X17" s="90">
        <f t="shared" si="13"/>
        <v>0</v>
      </c>
      <c r="Y17" s="137"/>
    </row>
    <row r="18" spans="2:25" ht="15">
      <c r="B18" s="102" t="s">
        <v>92</v>
      </c>
      <c r="C18" s="103"/>
      <c r="D18" s="104"/>
      <c r="E18" s="104">
        <f aca="true" t="shared" si="14" ref="E18:X18">E11-E17</f>
        <v>0</v>
      </c>
      <c r="F18" s="104">
        <f t="shared" si="14"/>
        <v>0</v>
      </c>
      <c r="G18" s="104">
        <f t="shared" si="14"/>
        <v>0</v>
      </c>
      <c r="H18" s="104">
        <f t="shared" si="14"/>
        <v>0</v>
      </c>
      <c r="I18" s="104">
        <f t="shared" si="14"/>
        <v>0</v>
      </c>
      <c r="J18" s="104">
        <f t="shared" si="14"/>
        <v>0</v>
      </c>
      <c r="K18" s="104">
        <f t="shared" si="14"/>
        <v>0</v>
      </c>
      <c r="L18" s="104">
        <f t="shared" si="14"/>
        <v>0</v>
      </c>
      <c r="M18" s="104">
        <f t="shared" si="14"/>
        <v>0</v>
      </c>
      <c r="N18" s="104">
        <f t="shared" si="14"/>
        <v>0</v>
      </c>
      <c r="O18" s="104">
        <f t="shared" si="14"/>
        <v>0</v>
      </c>
      <c r="P18" s="104">
        <f t="shared" si="14"/>
        <v>0</v>
      </c>
      <c r="Q18" s="104">
        <f t="shared" si="14"/>
        <v>0</v>
      </c>
      <c r="R18" s="104">
        <f t="shared" si="14"/>
        <v>0</v>
      </c>
      <c r="S18" s="104">
        <f t="shared" si="14"/>
        <v>0</v>
      </c>
      <c r="T18" s="104">
        <f t="shared" si="14"/>
        <v>0</v>
      </c>
      <c r="U18" s="104">
        <f t="shared" si="14"/>
        <v>0</v>
      </c>
      <c r="V18" s="104">
        <f t="shared" si="14"/>
        <v>0</v>
      </c>
      <c r="W18" s="104">
        <f t="shared" si="14"/>
        <v>0</v>
      </c>
      <c r="X18" s="104">
        <f t="shared" si="14"/>
        <v>0</v>
      </c>
      <c r="Y18" s="137">
        <f>SUM(E18:X18)</f>
        <v>0</v>
      </c>
    </row>
    <row r="20" spans="2:24" ht="12.75">
      <c r="B20" s="126" t="s">
        <v>100</v>
      </c>
      <c r="C20" s="126"/>
      <c r="D20" s="127" t="e">
        <f>D18/dATI!$C$8</f>
        <v>#DIV/0!</v>
      </c>
      <c r="E20" s="127" t="e">
        <f>E18/dATI!$C$8</f>
        <v>#DIV/0!</v>
      </c>
      <c r="F20" s="127" t="e">
        <f>F18/dATI!$C$8</f>
        <v>#DIV/0!</v>
      </c>
      <c r="G20" s="127" t="e">
        <f>G18/dATI!$C$8</f>
        <v>#DIV/0!</v>
      </c>
      <c r="H20" s="127" t="e">
        <f>H18/dATI!$C$8</f>
        <v>#DIV/0!</v>
      </c>
      <c r="I20" s="127" t="e">
        <f>I18/dATI!$C$8</f>
        <v>#DIV/0!</v>
      </c>
      <c r="J20" s="127" t="e">
        <f>J18/dATI!$C$8</f>
        <v>#DIV/0!</v>
      </c>
      <c r="K20" s="127" t="e">
        <f>K18/dATI!$C$8</f>
        <v>#DIV/0!</v>
      </c>
      <c r="L20" s="127" t="e">
        <f>L18/dATI!$C$8</f>
        <v>#DIV/0!</v>
      </c>
      <c r="M20" s="127" t="e">
        <f>M18/dATI!$C$8</f>
        <v>#DIV/0!</v>
      </c>
      <c r="N20" s="127" t="e">
        <f>N18/dATI!$C$8</f>
        <v>#DIV/0!</v>
      </c>
      <c r="O20" s="127" t="e">
        <f>O18/dATI!$C$8</f>
        <v>#DIV/0!</v>
      </c>
      <c r="P20" s="127" t="e">
        <f>P18/dATI!$C$8</f>
        <v>#DIV/0!</v>
      </c>
      <c r="Q20" s="127" t="e">
        <f>Q18/dATI!$C$8</f>
        <v>#DIV/0!</v>
      </c>
      <c r="R20" s="127" t="e">
        <f>R18/dATI!$C$8</f>
        <v>#DIV/0!</v>
      </c>
      <c r="S20" s="127" t="e">
        <f>S18/dATI!$C$8</f>
        <v>#DIV/0!</v>
      </c>
      <c r="T20" s="127" t="e">
        <f>T18/dATI!$C$8</f>
        <v>#DIV/0!</v>
      </c>
      <c r="U20" s="127" t="e">
        <f>U18/dATI!$C$8</f>
        <v>#DIV/0!</v>
      </c>
      <c r="V20" s="127" t="e">
        <f>V18/dATI!$C$8</f>
        <v>#DIV/0!</v>
      </c>
      <c r="W20" s="127" t="e">
        <f>W18/dATI!$C$8</f>
        <v>#DIV/0!</v>
      </c>
      <c r="X20" s="127" t="e">
        <f>X18/dATI!$C$8</f>
        <v>#DIV/0!</v>
      </c>
    </row>
    <row r="21" spans="2:24" ht="12.75">
      <c r="B21" s="118" t="s">
        <v>101</v>
      </c>
      <c r="D21" s="86" t="e">
        <f>D8/dATI!$C$8</f>
        <v>#DIV/0!</v>
      </c>
      <c r="E21" s="86" t="e">
        <f>E8/dATI!$C$8</f>
        <v>#DIV/0!</v>
      </c>
      <c r="F21" s="86" t="e">
        <f>F8/dATI!$C$8</f>
        <v>#DIV/0!</v>
      </c>
      <c r="G21" s="86" t="e">
        <f>G8/dATI!$C$8</f>
        <v>#DIV/0!</v>
      </c>
      <c r="H21" s="86" t="e">
        <f>H8/dATI!$C$8</f>
        <v>#DIV/0!</v>
      </c>
      <c r="I21" s="86" t="e">
        <f>I8/dATI!$C$8</f>
        <v>#DIV/0!</v>
      </c>
      <c r="J21" s="86" t="e">
        <f>J8/dATI!$C$8</f>
        <v>#DIV/0!</v>
      </c>
      <c r="K21" s="86" t="e">
        <f>K8/dATI!$C$8</f>
        <v>#DIV/0!</v>
      </c>
      <c r="L21" s="86" t="e">
        <f>L8/dATI!$C$8</f>
        <v>#DIV/0!</v>
      </c>
      <c r="M21" s="86" t="e">
        <f>M8/dATI!$C$8</f>
        <v>#DIV/0!</v>
      </c>
      <c r="N21" s="86" t="e">
        <f>N8/dATI!$C$8</f>
        <v>#DIV/0!</v>
      </c>
      <c r="O21" s="86" t="e">
        <f>O8/dATI!$C$8</f>
        <v>#DIV/0!</v>
      </c>
      <c r="P21" s="86" t="e">
        <f>P8/dATI!$C$8</f>
        <v>#DIV/0!</v>
      </c>
      <c r="Q21" s="86" t="e">
        <f>Q8/dATI!$C$8</f>
        <v>#DIV/0!</v>
      </c>
      <c r="R21" s="86" t="e">
        <f>R8/dATI!$C$8</f>
        <v>#DIV/0!</v>
      </c>
      <c r="S21" s="86" t="e">
        <f>S8/dATI!$C$8</f>
        <v>#DIV/0!</v>
      </c>
      <c r="T21" s="86" t="e">
        <f>T8/dATI!$C$8</f>
        <v>#DIV/0!</v>
      </c>
      <c r="U21" s="86" t="e">
        <f>U8/dATI!$C$8</f>
        <v>#DIV/0!</v>
      </c>
      <c r="V21" s="86" t="e">
        <f>V8/dATI!$C$8</f>
        <v>#DIV/0!</v>
      </c>
      <c r="W21" s="86" t="e">
        <f>W8/dATI!$C$8</f>
        <v>#DIV/0!</v>
      </c>
      <c r="X21" s="86" t="e">
        <f>X8/dATI!$C$8</f>
        <v>#DIV/0!</v>
      </c>
    </row>
    <row r="22" spans="2:24" ht="12.75">
      <c r="B22" s="118" t="s">
        <v>102</v>
      </c>
      <c r="D22" s="86" t="e">
        <f>D11/dATI!$C$8</f>
        <v>#DIV/0!</v>
      </c>
      <c r="E22" s="86" t="e">
        <f>E11/dATI!$C$8</f>
        <v>#DIV/0!</v>
      </c>
      <c r="F22" s="86" t="e">
        <f>F11/dATI!$C$8</f>
        <v>#DIV/0!</v>
      </c>
      <c r="G22" s="86" t="e">
        <f>G11/dATI!$C$8</f>
        <v>#DIV/0!</v>
      </c>
      <c r="H22" s="86" t="e">
        <f>H11/dATI!$C$8</f>
        <v>#DIV/0!</v>
      </c>
      <c r="I22" s="86" t="e">
        <f>I11/dATI!$C$8</f>
        <v>#DIV/0!</v>
      </c>
      <c r="J22" s="86" t="e">
        <f>J11/dATI!$C$8</f>
        <v>#DIV/0!</v>
      </c>
      <c r="K22" s="86" t="e">
        <f>K11/dATI!$C$8</f>
        <v>#DIV/0!</v>
      </c>
      <c r="L22" s="86" t="e">
        <f>L11/dATI!$C$8</f>
        <v>#DIV/0!</v>
      </c>
      <c r="M22" s="86" t="e">
        <f>M11/dATI!$C$8</f>
        <v>#DIV/0!</v>
      </c>
      <c r="N22" s="86" t="e">
        <f>N11/dATI!$C$8</f>
        <v>#DIV/0!</v>
      </c>
      <c r="O22" s="86" t="e">
        <f>O11/dATI!$C$8</f>
        <v>#DIV/0!</v>
      </c>
      <c r="P22" s="86" t="e">
        <f>P11/dATI!$C$8</f>
        <v>#DIV/0!</v>
      </c>
      <c r="Q22" s="86" t="e">
        <f>Q11/dATI!$C$8</f>
        <v>#DIV/0!</v>
      </c>
      <c r="R22" s="86" t="e">
        <f>R11/dATI!$C$8</f>
        <v>#DIV/0!</v>
      </c>
      <c r="S22" s="86" t="e">
        <f>S11/dATI!$C$8</f>
        <v>#DIV/0!</v>
      </c>
      <c r="T22" s="86" t="e">
        <f>T11/dATI!$C$8</f>
        <v>#DIV/0!</v>
      </c>
      <c r="U22" s="86" t="e">
        <f>U11/dATI!$C$8</f>
        <v>#DIV/0!</v>
      </c>
      <c r="V22" s="86" t="e">
        <f>V11/dATI!$C$8</f>
        <v>#DIV/0!</v>
      </c>
      <c r="W22" s="86" t="e">
        <f>W11/dATI!$C$8</f>
        <v>#DIV/0!</v>
      </c>
      <c r="X22" s="86" t="e">
        <f>X11/dATI!$C$8</f>
        <v>#DIV/0!</v>
      </c>
    </row>
    <row r="23" spans="2:24" ht="12.75">
      <c r="B23" s="118" t="s">
        <v>103</v>
      </c>
      <c r="D23" s="86" t="e">
        <f>D17/dATI!$C$8</f>
        <v>#DIV/0!</v>
      </c>
      <c r="E23" s="86" t="e">
        <f>E17/dATI!$C$8</f>
        <v>#DIV/0!</v>
      </c>
      <c r="F23" s="86" t="e">
        <f>F17/dATI!$C$8</f>
        <v>#DIV/0!</v>
      </c>
      <c r="G23" s="86" t="e">
        <f>G17/dATI!$C$8</f>
        <v>#DIV/0!</v>
      </c>
      <c r="H23" s="86" t="e">
        <f>H17/dATI!$C$8</f>
        <v>#DIV/0!</v>
      </c>
      <c r="I23" s="86" t="e">
        <f>I17/dATI!$C$8</f>
        <v>#DIV/0!</v>
      </c>
      <c r="J23" s="86" t="e">
        <f>J17/dATI!$C$8</f>
        <v>#DIV/0!</v>
      </c>
      <c r="K23" s="86" t="e">
        <f>K17/dATI!$C$8</f>
        <v>#DIV/0!</v>
      </c>
      <c r="L23" s="86" t="e">
        <f>L17/dATI!$C$8</f>
        <v>#DIV/0!</v>
      </c>
      <c r="M23" s="86" t="e">
        <f>M17/dATI!$C$8</f>
        <v>#DIV/0!</v>
      </c>
      <c r="N23" s="86" t="e">
        <f>N17/dATI!$C$8</f>
        <v>#DIV/0!</v>
      </c>
      <c r="O23" s="86" t="e">
        <f>O17/dATI!$C$8</f>
        <v>#DIV/0!</v>
      </c>
      <c r="P23" s="86" t="e">
        <f>P17/dATI!$C$8</f>
        <v>#DIV/0!</v>
      </c>
      <c r="Q23" s="86" t="e">
        <f>Q17/dATI!$C$8</f>
        <v>#DIV/0!</v>
      </c>
      <c r="R23" s="86" t="e">
        <f>R17/dATI!$C$8</f>
        <v>#DIV/0!</v>
      </c>
      <c r="S23" s="86" t="e">
        <f>S17/dATI!$C$8</f>
        <v>#DIV/0!</v>
      </c>
      <c r="T23" s="86" t="e">
        <f>T17/dATI!$C$8</f>
        <v>#DIV/0!</v>
      </c>
      <c r="U23" s="86" t="e">
        <f>U17/dATI!$C$8</f>
        <v>#DIV/0!</v>
      </c>
      <c r="V23" s="86" t="e">
        <f>V17/dATI!$C$8</f>
        <v>#DIV/0!</v>
      </c>
      <c r="W23" s="86" t="e">
        <f>W17/dATI!$C$8</f>
        <v>#DIV/0!</v>
      </c>
      <c r="X23" s="86" t="e">
        <f>X17/dATI!$C$8</f>
        <v>#DIV/0!</v>
      </c>
    </row>
    <row r="32" ht="12.75">
      <c r="D32" s="88"/>
    </row>
  </sheetData>
  <sheetProtection/>
  <mergeCells count="3">
    <mergeCell ref="A6:A8"/>
    <mergeCell ref="A10:A11"/>
    <mergeCell ref="A15:A17"/>
  </mergeCells>
  <printOptions/>
  <pageMargins left="0.7086614173228347" right="0.7086614173228347" top="0.24" bottom="0.33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23"/>
  <sheetViews>
    <sheetView zoomScalePageLayoutView="0" workbookViewId="0" topLeftCell="A10">
      <selection activeCell="K17" sqref="K17"/>
    </sheetView>
  </sheetViews>
  <sheetFormatPr defaultColWidth="9.140625" defaultRowHeight="12.75"/>
  <cols>
    <col min="2" max="2" width="37.28125" style="0" customWidth="1"/>
    <col min="3" max="3" width="12.7109375" style="0" customWidth="1"/>
    <col min="4" max="4" width="22.421875" style="0" customWidth="1"/>
    <col min="5" max="5" width="10.57421875" style="0" customWidth="1"/>
  </cols>
  <sheetData>
    <row r="4" spans="1:3" ht="12.75">
      <c r="A4" s="180" t="s">
        <v>105</v>
      </c>
      <c r="B4" s="180"/>
      <c r="C4" s="180"/>
    </row>
    <row r="5" spans="1:3" ht="12.75">
      <c r="A5" s="180"/>
      <c r="B5" s="180"/>
      <c r="C5" s="180"/>
    </row>
    <row r="6" ht="13.5" thickBot="1"/>
    <row r="7" spans="1:5" ht="12.75">
      <c r="A7" s="176" t="s">
        <v>2</v>
      </c>
      <c r="B7" s="178" t="s">
        <v>53</v>
      </c>
      <c r="C7" s="176" t="s">
        <v>48</v>
      </c>
      <c r="E7" s="176" t="s">
        <v>48</v>
      </c>
    </row>
    <row r="8" spans="1:5" ht="13.5" thickBot="1">
      <c r="A8" s="177"/>
      <c r="B8" s="179"/>
      <c r="C8" s="177"/>
      <c r="E8" s="177"/>
    </row>
    <row r="9" spans="1:5" ht="12.75">
      <c r="A9" s="12"/>
      <c r="B9" s="10"/>
      <c r="C9" s="10"/>
      <c r="E9" s="10"/>
    </row>
    <row r="10" spans="1:5" ht="24.75" customHeight="1">
      <c r="A10" s="78">
        <v>1</v>
      </c>
      <c r="B10" s="79" t="s">
        <v>95</v>
      </c>
      <c r="C10" s="115" t="e">
        <f>dATI!C8/dATI!C28</f>
        <v>#DIV/0!</v>
      </c>
      <c r="E10" s="115" t="e">
        <f>C10</f>
        <v>#DIV/0!</v>
      </c>
    </row>
    <row r="11" spans="1:5" ht="26.25" customHeight="1">
      <c r="A11" s="78">
        <v>2</v>
      </c>
      <c r="B11" s="79" t="s">
        <v>97</v>
      </c>
      <c r="C11" s="115" t="e">
        <f>C10*dATI!C30*dATI!C22</f>
        <v>#DIV/0!</v>
      </c>
      <c r="E11" s="115" t="e">
        <f>kopejais!G8/dATI!C28</f>
        <v>#DIV/0!</v>
      </c>
    </row>
    <row r="12" spans="1:5" ht="26.25" customHeight="1">
      <c r="A12" s="78">
        <v>3</v>
      </c>
      <c r="B12" s="79" t="s">
        <v>96</v>
      </c>
      <c r="C12" s="115" t="e">
        <f>C10*dATI!C25*12</f>
        <v>#DIV/0!</v>
      </c>
      <c r="E12" s="115" t="e">
        <f>C12</f>
        <v>#DIV/0!</v>
      </c>
    </row>
    <row r="13" spans="1:5" ht="17.25" customHeight="1">
      <c r="A13" s="112"/>
      <c r="B13" s="25"/>
      <c r="C13" s="119" t="e">
        <f>SUM(C11:C12)</f>
        <v>#DIV/0!</v>
      </c>
      <c r="E13" s="119" t="e">
        <f>SUM(E11:E12)</f>
        <v>#DIV/0!</v>
      </c>
    </row>
    <row r="14" spans="1:5" ht="28.5" customHeight="1">
      <c r="A14" s="113">
        <v>4</v>
      </c>
      <c r="B14" s="114" t="s">
        <v>98</v>
      </c>
      <c r="C14" s="117" t="e">
        <f>(kopejais!E7-kopejais!E10)/dATI!C8*dATI!C22*C10</f>
        <v>#DIV/0!</v>
      </c>
      <c r="E14" s="117" t="e">
        <f>(kopejais!G7-kopejais!G10)/dATI!C8*dATI!C22*E10</f>
        <v>#DIV/0!</v>
      </c>
    </row>
    <row r="15" spans="1:8" ht="39.75" customHeight="1">
      <c r="A15" s="113">
        <v>5</v>
      </c>
      <c r="B15" s="114" t="s">
        <v>96</v>
      </c>
      <c r="C15" s="117" t="e">
        <f>C10*dATI!C26*12</f>
        <v>#DIV/0!</v>
      </c>
      <c r="E15" s="117" t="e">
        <f>C15</f>
        <v>#DIV/0!</v>
      </c>
      <c r="F15" s="86"/>
      <c r="G15" s="86"/>
      <c r="H15" s="86"/>
    </row>
    <row r="16" spans="1:5" ht="20.25" customHeight="1">
      <c r="A16" s="112"/>
      <c r="B16" s="25"/>
      <c r="C16" s="119" t="e">
        <f>SUM(C14:C15)</f>
        <v>#DIV/0!</v>
      </c>
      <c r="E16" s="119" t="e">
        <f>SUM(E14:E15)</f>
        <v>#DIV/0!</v>
      </c>
    </row>
    <row r="17" spans="1:5" ht="29.25" customHeight="1">
      <c r="A17" s="110">
        <v>6</v>
      </c>
      <c r="B17" s="111" t="s">
        <v>104</v>
      </c>
      <c r="C17" s="116" t="e">
        <f>kopejais!E17/dATI!C8*C10</f>
        <v>#DIV/0!</v>
      </c>
      <c r="E17" s="116" t="e">
        <f>kopejais!G17/dATI!C8*E10</f>
        <v>#DIV/0!</v>
      </c>
    </row>
    <row r="18" spans="1:5" ht="37.5" customHeight="1">
      <c r="A18" s="123">
        <v>7</v>
      </c>
      <c r="B18" s="124" t="s">
        <v>99</v>
      </c>
      <c r="C18" s="125" t="e">
        <f>C13-C16</f>
        <v>#DIV/0!</v>
      </c>
      <c r="E18" s="125" t="e">
        <f>E13-E16</f>
        <v>#DIV/0!</v>
      </c>
    </row>
    <row r="19" ht="21" customHeight="1"/>
    <row r="20" spans="1:5" ht="29.25" customHeight="1">
      <c r="A20" s="112">
        <v>8</v>
      </c>
      <c r="B20" s="25" t="s">
        <v>106</v>
      </c>
      <c r="C20" s="138" t="e">
        <f>C18-C17</f>
        <v>#DIV/0!</v>
      </c>
      <c r="E20" s="138" t="e">
        <f>E18-E17</f>
        <v>#DIV/0!</v>
      </c>
    </row>
    <row r="21" spans="1:5" ht="52.5" customHeight="1">
      <c r="A21" s="120">
        <v>9</v>
      </c>
      <c r="B21" s="121" t="s">
        <v>107</v>
      </c>
      <c r="C21" s="122" t="e">
        <f>C20/12</f>
        <v>#DIV/0!</v>
      </c>
      <c r="D21" s="139" t="s">
        <v>123</v>
      </c>
      <c r="E21" s="122" t="e">
        <f>E20/12</f>
        <v>#DIV/0!</v>
      </c>
    </row>
    <row r="22" spans="1:5" ht="32.25" customHeight="1">
      <c r="A22" s="112">
        <v>10</v>
      </c>
      <c r="B22" s="25" t="s">
        <v>108</v>
      </c>
      <c r="C22" s="138" t="e">
        <f>C21/C10</f>
        <v>#DIV/0!</v>
      </c>
      <c r="E22" s="138" t="e">
        <f>E21/E10</f>
        <v>#DIV/0!</v>
      </c>
    </row>
    <row r="23" spans="3:5" ht="12.75">
      <c r="C23" s="118" t="s">
        <v>121</v>
      </c>
      <c r="E23" s="118" t="s">
        <v>122</v>
      </c>
    </row>
  </sheetData>
  <sheetProtection/>
  <mergeCells count="5">
    <mergeCell ref="A4:C5"/>
    <mergeCell ref="A7:A8"/>
    <mergeCell ref="B7:B8"/>
    <mergeCell ref="C7:C8"/>
    <mergeCell ref="E7:E8"/>
  </mergeCells>
  <printOptions/>
  <pageMargins left="0.25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Sanita</cp:lastModifiedBy>
  <cp:lastPrinted>2009-10-13T08:07:12Z</cp:lastPrinted>
  <dcterms:created xsi:type="dcterms:W3CDTF">1996-10-14T23:33:28Z</dcterms:created>
  <dcterms:modified xsi:type="dcterms:W3CDTF">2009-12-02T07:00:11Z</dcterms:modified>
  <cp:category/>
  <cp:version/>
  <cp:contentType/>
  <cp:contentStatus/>
</cp:coreProperties>
</file>